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date1904="1" showInkAnnotation="0" autoCompressPictures="0"/>
  <bookViews>
    <workbookView xWindow="0" yWindow="0" windowWidth="25600" windowHeight="16060" tabRatio="500"/>
  </bookViews>
  <sheets>
    <sheet name="Sheet1" sheetId="1" r:id="rId1"/>
    <sheet name="Sheet2" sheetId="2" r:id="rId2"/>
    <sheet name="Sheet3" sheetId="3" r:id="rId3"/>
    <sheet name="Sheet4" sheetId="4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13" i="3" l="1"/>
  <c r="K213" i="3"/>
  <c r="J213" i="3"/>
  <c r="I213" i="3"/>
  <c r="H213" i="3"/>
  <c r="G213" i="3"/>
  <c r="F213" i="3"/>
  <c r="L214" i="3"/>
  <c r="L215" i="3"/>
  <c r="K214" i="3"/>
  <c r="K215" i="3"/>
  <c r="J214" i="3"/>
  <c r="J215" i="3"/>
  <c r="I214" i="3"/>
  <c r="I215" i="3"/>
  <c r="H214" i="3"/>
  <c r="H215" i="3"/>
  <c r="G214" i="3"/>
  <c r="G215" i="3"/>
  <c r="F214" i="3"/>
  <c r="F215" i="3"/>
  <c r="L212" i="3"/>
  <c r="K212" i="3"/>
  <c r="J212" i="3"/>
  <c r="I212" i="3"/>
  <c r="H212" i="3"/>
  <c r="G212" i="3"/>
  <c r="F212" i="3"/>
  <c r="L190" i="3"/>
  <c r="L189" i="3"/>
  <c r="K190" i="3"/>
  <c r="K189" i="3"/>
  <c r="J190" i="3"/>
  <c r="J189" i="3"/>
  <c r="I190" i="3"/>
  <c r="I189" i="3"/>
  <c r="H190" i="3"/>
  <c r="H189" i="3"/>
  <c r="G190" i="3"/>
  <c r="G189" i="3"/>
  <c r="F190" i="3"/>
  <c r="F189" i="3"/>
  <c r="L167" i="3"/>
  <c r="G161" i="3"/>
  <c r="H161" i="3"/>
  <c r="I161" i="3"/>
  <c r="J161" i="3"/>
  <c r="K161" i="3"/>
  <c r="L161" i="3"/>
  <c r="L168" i="3"/>
  <c r="K167" i="3"/>
  <c r="K168" i="3"/>
  <c r="J167" i="3"/>
  <c r="J168" i="3"/>
  <c r="I167" i="3"/>
  <c r="I168" i="3"/>
  <c r="H167" i="3"/>
  <c r="H168" i="3"/>
  <c r="G167" i="3"/>
  <c r="G168" i="3"/>
  <c r="F167" i="3"/>
  <c r="F168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F5" i="3"/>
  <c r="F136" i="3"/>
  <c r="F138" i="3"/>
  <c r="A3" i="3"/>
  <c r="A5" i="3"/>
  <c r="C3" i="3"/>
  <c r="I19" i="3"/>
  <c r="P5" i="3"/>
  <c r="C6" i="3"/>
  <c r="D6" i="3"/>
  <c r="B133" i="3"/>
  <c r="D133" i="3"/>
  <c r="Y133" i="3"/>
  <c r="F143" i="3"/>
  <c r="B3" i="3"/>
  <c r="K17" i="3"/>
  <c r="C34" i="3"/>
  <c r="C32" i="3"/>
  <c r="C30" i="3"/>
  <c r="C28" i="3"/>
  <c r="C26" i="3"/>
  <c r="C24" i="3"/>
  <c r="C22" i="3"/>
  <c r="C20" i="3"/>
  <c r="C18" i="3"/>
  <c r="C16" i="3"/>
  <c r="C14" i="3"/>
  <c r="C12" i="3"/>
  <c r="C10" i="3"/>
  <c r="C8" i="3"/>
  <c r="D20" i="3"/>
  <c r="P20" i="3"/>
  <c r="C36" i="3"/>
  <c r="D21" i="3"/>
  <c r="P21" i="3"/>
  <c r="C38" i="3"/>
  <c r="D22" i="3"/>
  <c r="P22" i="3"/>
  <c r="C40" i="3"/>
  <c r="D23" i="3"/>
  <c r="P23" i="3"/>
  <c r="C42" i="3"/>
  <c r="D24" i="3"/>
  <c r="P24" i="3"/>
  <c r="C44" i="3"/>
  <c r="D25" i="3"/>
  <c r="P25" i="3"/>
  <c r="C46" i="3"/>
  <c r="D26" i="3"/>
  <c r="P26" i="3"/>
  <c r="C48" i="3"/>
  <c r="D27" i="3"/>
  <c r="P27" i="3"/>
  <c r="D28" i="3"/>
  <c r="P28" i="3"/>
  <c r="D29" i="3"/>
  <c r="P29" i="3"/>
  <c r="D30" i="3"/>
  <c r="P30" i="3"/>
  <c r="D31" i="3"/>
  <c r="P31" i="3"/>
  <c r="D32" i="3"/>
  <c r="P32" i="3"/>
  <c r="D33" i="3"/>
  <c r="P33" i="3"/>
  <c r="D34" i="3"/>
  <c r="P34" i="3"/>
  <c r="D35" i="3"/>
  <c r="P35" i="3"/>
  <c r="D36" i="3"/>
  <c r="P36" i="3"/>
  <c r="D37" i="3"/>
  <c r="P37" i="3"/>
  <c r="D38" i="3"/>
  <c r="P38" i="3"/>
  <c r="D39" i="3"/>
  <c r="P39" i="3"/>
  <c r="D40" i="3"/>
  <c r="P40" i="3"/>
  <c r="D41" i="3"/>
  <c r="P41" i="3"/>
  <c r="D42" i="3"/>
  <c r="P42" i="3"/>
  <c r="D43" i="3"/>
  <c r="P43" i="3"/>
  <c r="D44" i="3"/>
  <c r="P44" i="3"/>
  <c r="D45" i="3"/>
  <c r="P45" i="3"/>
  <c r="D46" i="3"/>
  <c r="P46" i="3"/>
  <c r="D47" i="3"/>
  <c r="P47" i="3"/>
  <c r="D48" i="3"/>
  <c r="P48" i="3"/>
  <c r="D49" i="3"/>
  <c r="P49" i="3"/>
  <c r="D50" i="3"/>
  <c r="P50" i="3"/>
  <c r="D51" i="3"/>
  <c r="P51" i="3"/>
  <c r="D52" i="3"/>
  <c r="P52" i="3"/>
  <c r="D53" i="3"/>
  <c r="P53" i="3"/>
  <c r="D54" i="3"/>
  <c r="P54" i="3"/>
  <c r="D55" i="3"/>
  <c r="P55" i="3"/>
  <c r="D56" i="3"/>
  <c r="P56" i="3"/>
  <c r="D57" i="3"/>
  <c r="P57" i="3"/>
  <c r="D58" i="3"/>
  <c r="P58" i="3"/>
  <c r="D59" i="3"/>
  <c r="P59" i="3"/>
  <c r="D60" i="3"/>
  <c r="P60" i="3"/>
  <c r="D61" i="3"/>
  <c r="P61" i="3"/>
  <c r="D62" i="3"/>
  <c r="P62" i="3"/>
  <c r="D63" i="3"/>
  <c r="P63" i="3"/>
  <c r="I20" i="3"/>
  <c r="I18" i="3"/>
  <c r="J97" i="3"/>
  <c r="G158" i="3"/>
  <c r="N132" i="3"/>
  <c r="N133" i="3"/>
  <c r="N134" i="3"/>
  <c r="N135" i="3"/>
  <c r="O134" i="3"/>
  <c r="D7" i="3"/>
  <c r="B134" i="3"/>
  <c r="D134" i="3"/>
  <c r="Y134" i="3"/>
  <c r="N136" i="3"/>
  <c r="O135" i="3"/>
  <c r="D8" i="3"/>
  <c r="B135" i="3"/>
  <c r="D135" i="3"/>
  <c r="Y135" i="3"/>
  <c r="N137" i="3"/>
  <c r="O136" i="3"/>
  <c r="D9" i="3"/>
  <c r="B136" i="3"/>
  <c r="D136" i="3"/>
  <c r="Y136" i="3"/>
  <c r="N138" i="3"/>
  <c r="O137" i="3"/>
  <c r="D10" i="3"/>
  <c r="B137" i="3"/>
  <c r="D137" i="3"/>
  <c r="Y137" i="3"/>
  <c r="N139" i="3"/>
  <c r="O138" i="3"/>
  <c r="D11" i="3"/>
  <c r="B138" i="3"/>
  <c r="D138" i="3"/>
  <c r="Y138" i="3"/>
  <c r="N140" i="3"/>
  <c r="O139" i="3"/>
  <c r="D12" i="3"/>
  <c r="B139" i="3"/>
  <c r="D139" i="3"/>
  <c r="Y139" i="3"/>
  <c r="N141" i="3"/>
  <c r="O140" i="3"/>
  <c r="D13" i="3"/>
  <c r="B140" i="3"/>
  <c r="D140" i="3"/>
  <c r="Y140" i="3"/>
  <c r="N142" i="3"/>
  <c r="O141" i="3"/>
  <c r="D14" i="3"/>
  <c r="B141" i="3"/>
  <c r="D141" i="3"/>
  <c r="Y141" i="3"/>
  <c r="N143" i="3"/>
  <c r="O142" i="3"/>
  <c r="D15" i="3"/>
  <c r="B142" i="3"/>
  <c r="D142" i="3"/>
  <c r="Y142" i="3"/>
  <c r="N144" i="3"/>
  <c r="O143" i="3"/>
  <c r="D16" i="3"/>
  <c r="B143" i="3"/>
  <c r="D143" i="3"/>
  <c r="Y143" i="3"/>
  <c r="N145" i="3"/>
  <c r="O144" i="3"/>
  <c r="D17" i="3"/>
  <c r="B144" i="3"/>
  <c r="D144" i="3"/>
  <c r="Y144" i="3"/>
  <c r="N146" i="3"/>
  <c r="O145" i="3"/>
  <c r="C21" i="3"/>
  <c r="D18" i="3"/>
  <c r="B145" i="3"/>
  <c r="D145" i="3"/>
  <c r="Y145" i="3"/>
  <c r="N147" i="3"/>
  <c r="O146" i="3"/>
  <c r="D19" i="3"/>
  <c r="B146" i="3"/>
  <c r="F148" i="3"/>
  <c r="F147" i="3"/>
  <c r="S129" i="3"/>
  <c r="C146" i="3"/>
  <c r="D146" i="3"/>
  <c r="Y146" i="3"/>
  <c r="N148" i="3"/>
  <c r="O147" i="3"/>
  <c r="B147" i="3"/>
  <c r="C147" i="3"/>
  <c r="D147" i="3"/>
  <c r="Y147" i="3"/>
  <c r="N149" i="3"/>
  <c r="O148" i="3"/>
  <c r="B148" i="3"/>
  <c r="C148" i="3"/>
  <c r="D148" i="3"/>
  <c r="Y148" i="3"/>
  <c r="N150" i="3"/>
  <c r="O149" i="3"/>
  <c r="B149" i="3"/>
  <c r="C149" i="3"/>
  <c r="D149" i="3"/>
  <c r="Y149" i="3"/>
  <c r="N151" i="3"/>
  <c r="O150" i="3"/>
  <c r="B150" i="3"/>
  <c r="C150" i="3"/>
  <c r="D150" i="3"/>
  <c r="Y150" i="3"/>
  <c r="N152" i="3"/>
  <c r="O151" i="3"/>
  <c r="B151" i="3"/>
  <c r="C76" i="3"/>
  <c r="D76" i="3"/>
  <c r="C151" i="3"/>
  <c r="D151" i="3"/>
  <c r="Y151" i="3"/>
  <c r="N153" i="3"/>
  <c r="O152" i="3"/>
  <c r="B152" i="3"/>
  <c r="C77" i="3"/>
  <c r="D77" i="3"/>
  <c r="C152" i="3"/>
  <c r="D152" i="3"/>
  <c r="Y152" i="3"/>
  <c r="N154" i="3"/>
  <c r="O153" i="3"/>
  <c r="B153" i="3"/>
  <c r="C78" i="3"/>
  <c r="D78" i="3"/>
  <c r="C153" i="3"/>
  <c r="D153" i="3"/>
  <c r="Y153" i="3"/>
  <c r="N155" i="3"/>
  <c r="O154" i="3"/>
  <c r="B154" i="3"/>
  <c r="C79" i="3"/>
  <c r="D79" i="3"/>
  <c r="C154" i="3"/>
  <c r="D154" i="3"/>
  <c r="Y154" i="3"/>
  <c r="N156" i="3"/>
  <c r="O155" i="3"/>
  <c r="B155" i="3"/>
  <c r="C80" i="3"/>
  <c r="D80" i="3"/>
  <c r="C155" i="3"/>
  <c r="D155" i="3"/>
  <c r="Y155" i="3"/>
  <c r="N157" i="3"/>
  <c r="O156" i="3"/>
  <c r="B156" i="3"/>
  <c r="C81" i="3"/>
  <c r="D81" i="3"/>
  <c r="C156" i="3"/>
  <c r="D156" i="3"/>
  <c r="Y156" i="3"/>
  <c r="N158" i="3"/>
  <c r="O157" i="3"/>
  <c r="B157" i="3"/>
  <c r="C82" i="3"/>
  <c r="D82" i="3"/>
  <c r="C157" i="3"/>
  <c r="D157" i="3"/>
  <c r="Y157" i="3"/>
  <c r="N159" i="3"/>
  <c r="O158" i="3"/>
  <c r="B158" i="3"/>
  <c r="C83" i="3"/>
  <c r="D83" i="3"/>
  <c r="C158" i="3"/>
  <c r="D158" i="3"/>
  <c r="Y158" i="3"/>
  <c r="N160" i="3"/>
  <c r="O159" i="3"/>
  <c r="B159" i="3"/>
  <c r="C84" i="3"/>
  <c r="D84" i="3"/>
  <c r="C159" i="3"/>
  <c r="D159" i="3"/>
  <c r="Y159" i="3"/>
  <c r="N161" i="3"/>
  <c r="O160" i="3"/>
  <c r="B160" i="3"/>
  <c r="C85" i="3"/>
  <c r="D85" i="3"/>
  <c r="C160" i="3"/>
  <c r="D160" i="3"/>
  <c r="Y160" i="3"/>
  <c r="N162" i="3"/>
  <c r="O161" i="3"/>
  <c r="B161" i="3"/>
  <c r="C86" i="3"/>
  <c r="D86" i="3"/>
  <c r="C161" i="3"/>
  <c r="D161" i="3"/>
  <c r="Y161" i="3"/>
  <c r="N163" i="3"/>
  <c r="O162" i="3"/>
  <c r="B162" i="3"/>
  <c r="C87" i="3"/>
  <c r="D87" i="3"/>
  <c r="C162" i="3"/>
  <c r="D162" i="3"/>
  <c r="Y162" i="3"/>
  <c r="N164" i="3"/>
  <c r="O163" i="3"/>
  <c r="B163" i="3"/>
  <c r="C88" i="3"/>
  <c r="D88" i="3"/>
  <c r="C163" i="3"/>
  <c r="D163" i="3"/>
  <c r="Y163" i="3"/>
  <c r="N165" i="3"/>
  <c r="O164" i="3"/>
  <c r="B164" i="3"/>
  <c r="C89" i="3"/>
  <c r="D89" i="3"/>
  <c r="C164" i="3"/>
  <c r="D164" i="3"/>
  <c r="Y164" i="3"/>
  <c r="N166" i="3"/>
  <c r="O165" i="3"/>
  <c r="B165" i="3"/>
  <c r="C90" i="3"/>
  <c r="D90" i="3"/>
  <c r="C165" i="3"/>
  <c r="D165" i="3"/>
  <c r="Y165" i="3"/>
  <c r="N167" i="3"/>
  <c r="O166" i="3"/>
  <c r="B166" i="3"/>
  <c r="C91" i="3"/>
  <c r="D91" i="3"/>
  <c r="C166" i="3"/>
  <c r="D166" i="3"/>
  <c r="Y166" i="3"/>
  <c r="N168" i="3"/>
  <c r="O167" i="3"/>
  <c r="B167" i="3"/>
  <c r="C92" i="3"/>
  <c r="D92" i="3"/>
  <c r="C167" i="3"/>
  <c r="D167" i="3"/>
  <c r="Y167" i="3"/>
  <c r="N169" i="3"/>
  <c r="O168" i="3"/>
  <c r="B168" i="3"/>
  <c r="C93" i="3"/>
  <c r="D93" i="3"/>
  <c r="C168" i="3"/>
  <c r="D168" i="3"/>
  <c r="Y168" i="3"/>
  <c r="N170" i="3"/>
  <c r="O169" i="3"/>
  <c r="B169" i="3"/>
  <c r="C94" i="3"/>
  <c r="D94" i="3"/>
  <c r="C169" i="3"/>
  <c r="D169" i="3"/>
  <c r="Y169" i="3"/>
  <c r="N171" i="3"/>
  <c r="O170" i="3"/>
  <c r="B170" i="3"/>
  <c r="C95" i="3"/>
  <c r="D95" i="3"/>
  <c r="C170" i="3"/>
  <c r="D170" i="3"/>
  <c r="Y170" i="3"/>
  <c r="Y171" i="3"/>
  <c r="F139" i="3"/>
  <c r="F142" i="3"/>
  <c r="M166" i="3"/>
  <c r="U134" i="3"/>
  <c r="U135" i="3"/>
  <c r="U136" i="3"/>
  <c r="F144" i="3"/>
  <c r="P137" i="3"/>
  <c r="U137" i="3"/>
  <c r="P138" i="3"/>
  <c r="U138" i="3"/>
  <c r="P139" i="3"/>
  <c r="U139" i="3"/>
  <c r="P140" i="3"/>
  <c r="U140" i="3"/>
  <c r="P141" i="3"/>
  <c r="U141" i="3"/>
  <c r="P142" i="3"/>
  <c r="U142" i="3"/>
  <c r="P143" i="3"/>
  <c r="U143" i="3"/>
  <c r="P144" i="3"/>
  <c r="U144" i="3"/>
  <c r="P145" i="3"/>
  <c r="U145" i="3"/>
  <c r="P146" i="3"/>
  <c r="U146" i="3"/>
  <c r="P147" i="3"/>
  <c r="U147" i="3"/>
  <c r="P148" i="3"/>
  <c r="U148" i="3"/>
  <c r="P149" i="3"/>
  <c r="U149" i="3"/>
  <c r="P150" i="3"/>
  <c r="U150" i="3"/>
  <c r="P151" i="3"/>
  <c r="U151" i="3"/>
  <c r="P152" i="3"/>
  <c r="U152" i="3"/>
  <c r="P153" i="3"/>
  <c r="U153" i="3"/>
  <c r="P154" i="3"/>
  <c r="U154" i="3"/>
  <c r="P155" i="3"/>
  <c r="U155" i="3"/>
  <c r="P156" i="3"/>
  <c r="U156" i="3"/>
  <c r="P157" i="3"/>
  <c r="U157" i="3"/>
  <c r="P158" i="3"/>
  <c r="U158" i="3"/>
  <c r="P159" i="3"/>
  <c r="U159" i="3"/>
  <c r="P160" i="3"/>
  <c r="U160" i="3"/>
  <c r="P161" i="3"/>
  <c r="U161" i="3"/>
  <c r="P162" i="3"/>
  <c r="U162" i="3"/>
  <c r="P163" i="3"/>
  <c r="U163" i="3"/>
  <c r="P164" i="3"/>
  <c r="U164" i="3"/>
  <c r="P165" i="3"/>
  <c r="U165" i="3"/>
  <c r="P166" i="3"/>
  <c r="U166" i="3"/>
  <c r="P167" i="3"/>
  <c r="U167" i="3"/>
  <c r="P168" i="3"/>
  <c r="U168" i="3"/>
  <c r="P169" i="3"/>
  <c r="U169" i="3"/>
  <c r="P170" i="3"/>
  <c r="U170" i="3"/>
  <c r="N172" i="3"/>
  <c r="P171" i="3"/>
  <c r="B171" i="3"/>
  <c r="C96" i="3"/>
  <c r="D96" i="3"/>
  <c r="C171" i="3"/>
  <c r="D171" i="3"/>
  <c r="O171" i="3"/>
  <c r="U171" i="3"/>
  <c r="N173" i="3"/>
  <c r="P172" i="3"/>
  <c r="B172" i="3"/>
  <c r="C97" i="3"/>
  <c r="D97" i="3"/>
  <c r="C172" i="3"/>
  <c r="D172" i="3"/>
  <c r="O172" i="3"/>
  <c r="U172" i="3"/>
  <c r="N174" i="3"/>
  <c r="P173" i="3"/>
  <c r="B173" i="3"/>
  <c r="C98" i="3"/>
  <c r="D98" i="3"/>
  <c r="C173" i="3"/>
  <c r="D173" i="3"/>
  <c r="O173" i="3"/>
  <c r="U173" i="3"/>
  <c r="N175" i="3"/>
  <c r="P174" i="3"/>
  <c r="B174" i="3"/>
  <c r="C99" i="3"/>
  <c r="D99" i="3"/>
  <c r="C100" i="3"/>
  <c r="D100" i="3"/>
  <c r="C174" i="3"/>
  <c r="D174" i="3"/>
  <c r="O174" i="3"/>
  <c r="U174" i="3"/>
  <c r="N176" i="3"/>
  <c r="P175" i="3"/>
  <c r="B175" i="3"/>
  <c r="C101" i="3"/>
  <c r="D101" i="3"/>
  <c r="C175" i="3"/>
  <c r="D175" i="3"/>
  <c r="O175" i="3"/>
  <c r="U175" i="3"/>
  <c r="N177" i="3"/>
  <c r="P176" i="3"/>
  <c r="B176" i="3"/>
  <c r="C102" i="3"/>
  <c r="D102" i="3"/>
  <c r="C176" i="3"/>
  <c r="D176" i="3"/>
  <c r="O176" i="3"/>
  <c r="U176" i="3"/>
  <c r="N178" i="3"/>
  <c r="P177" i="3"/>
  <c r="B177" i="3"/>
  <c r="C103" i="3"/>
  <c r="D103" i="3"/>
  <c r="C177" i="3"/>
  <c r="D177" i="3"/>
  <c r="O177" i="3"/>
  <c r="U177" i="3"/>
  <c r="N179" i="3"/>
  <c r="P178" i="3"/>
  <c r="B178" i="3"/>
  <c r="D104" i="3"/>
  <c r="C178" i="3"/>
  <c r="D178" i="3"/>
  <c r="O178" i="3"/>
  <c r="U178" i="3"/>
  <c r="N180" i="3"/>
  <c r="P179" i="3"/>
  <c r="B179" i="3"/>
  <c r="D105" i="3"/>
  <c r="C179" i="3"/>
  <c r="D179" i="3"/>
  <c r="O179" i="3"/>
  <c r="U179" i="3"/>
  <c r="N181" i="3"/>
  <c r="P180" i="3"/>
  <c r="B180" i="3"/>
  <c r="D106" i="3"/>
  <c r="C180" i="3"/>
  <c r="D180" i="3"/>
  <c r="O180" i="3"/>
  <c r="U180" i="3"/>
  <c r="N182" i="3"/>
  <c r="P181" i="3"/>
  <c r="B181" i="3"/>
  <c r="D107" i="3"/>
  <c r="C181" i="3"/>
  <c r="D181" i="3"/>
  <c r="O181" i="3"/>
  <c r="U181" i="3"/>
  <c r="N183" i="3"/>
  <c r="P182" i="3"/>
  <c r="B182" i="3"/>
  <c r="D108" i="3"/>
  <c r="C182" i="3"/>
  <c r="D182" i="3"/>
  <c r="U182" i="3"/>
  <c r="N184" i="3"/>
  <c r="P183" i="3"/>
  <c r="B183" i="3"/>
  <c r="D109" i="3"/>
  <c r="C183" i="3"/>
  <c r="D183" i="3"/>
  <c r="U183" i="3"/>
  <c r="N185" i="3"/>
  <c r="P184" i="3"/>
  <c r="B184" i="3"/>
  <c r="D110" i="3"/>
  <c r="C184" i="3"/>
  <c r="D184" i="3"/>
  <c r="U184" i="3"/>
  <c r="N186" i="3"/>
  <c r="P185" i="3"/>
  <c r="B185" i="3"/>
  <c r="D111" i="3"/>
  <c r="C185" i="3"/>
  <c r="D185" i="3"/>
  <c r="U185" i="3"/>
  <c r="N187" i="3"/>
  <c r="P186" i="3"/>
  <c r="B186" i="3"/>
  <c r="D112" i="3"/>
  <c r="C186" i="3"/>
  <c r="D186" i="3"/>
  <c r="U186" i="3"/>
  <c r="N188" i="3"/>
  <c r="P187" i="3"/>
  <c r="B187" i="3"/>
  <c r="D113" i="3"/>
  <c r="C187" i="3"/>
  <c r="D187" i="3"/>
  <c r="U187" i="3"/>
  <c r="N189" i="3"/>
  <c r="P188" i="3"/>
  <c r="B188" i="3"/>
  <c r="D114" i="3"/>
  <c r="C188" i="3"/>
  <c r="D188" i="3"/>
  <c r="U188" i="3"/>
  <c r="N190" i="3"/>
  <c r="P189" i="3"/>
  <c r="B189" i="3"/>
  <c r="D115" i="3"/>
  <c r="C189" i="3"/>
  <c r="D189" i="3"/>
  <c r="U189" i="3"/>
  <c r="N191" i="3"/>
  <c r="P190" i="3"/>
  <c r="B190" i="3"/>
  <c r="D116" i="3"/>
  <c r="C190" i="3"/>
  <c r="D190" i="3"/>
  <c r="U190" i="3"/>
  <c r="N192" i="3"/>
  <c r="P191" i="3"/>
  <c r="D117" i="3"/>
  <c r="C191" i="3"/>
  <c r="D64" i="3"/>
  <c r="B191" i="3"/>
  <c r="D191" i="3"/>
  <c r="U191" i="3"/>
  <c r="N193" i="3"/>
  <c r="P192" i="3"/>
  <c r="D118" i="3"/>
  <c r="C192" i="3"/>
  <c r="D192" i="3"/>
  <c r="U192" i="3"/>
  <c r="N194" i="3"/>
  <c r="P193" i="3"/>
  <c r="D119" i="3"/>
  <c r="C193" i="3"/>
  <c r="D193" i="3"/>
  <c r="U193" i="3"/>
  <c r="N195" i="3"/>
  <c r="P194" i="3"/>
  <c r="D120" i="3"/>
  <c r="C194" i="3"/>
  <c r="D194" i="3"/>
  <c r="U194" i="3"/>
  <c r="N196" i="3"/>
  <c r="P195" i="3"/>
  <c r="D121" i="3"/>
  <c r="C195" i="3"/>
  <c r="D195" i="3"/>
  <c r="U195" i="3"/>
  <c r="N197" i="3"/>
  <c r="P196" i="3"/>
  <c r="D122" i="3"/>
  <c r="C196" i="3"/>
  <c r="D196" i="3"/>
  <c r="U196" i="3"/>
  <c r="N198" i="3"/>
  <c r="P197" i="3"/>
  <c r="D123" i="3"/>
  <c r="C197" i="3"/>
  <c r="D197" i="3"/>
  <c r="U197" i="3"/>
  <c r="N199" i="3"/>
  <c r="P198" i="3"/>
  <c r="D124" i="3"/>
  <c r="C198" i="3"/>
  <c r="D198" i="3"/>
  <c r="U198" i="3"/>
  <c r="N200" i="3"/>
  <c r="P199" i="3"/>
  <c r="D125" i="3"/>
  <c r="C199" i="3"/>
  <c r="D199" i="3"/>
  <c r="U199" i="3"/>
  <c r="N201" i="3"/>
  <c r="P200" i="3"/>
  <c r="D126" i="3"/>
  <c r="C200" i="3"/>
  <c r="D200" i="3"/>
  <c r="U200" i="3"/>
  <c r="N202" i="3"/>
  <c r="P201" i="3"/>
  <c r="D127" i="3"/>
  <c r="C201" i="3"/>
  <c r="D201" i="3"/>
  <c r="U201" i="3"/>
  <c r="N203" i="3"/>
  <c r="P202" i="3"/>
  <c r="D128" i="3"/>
  <c r="C202" i="3"/>
  <c r="D202" i="3"/>
  <c r="U202" i="3"/>
  <c r="N204" i="3"/>
  <c r="P203" i="3"/>
  <c r="C203" i="3"/>
  <c r="D203" i="3"/>
  <c r="U203" i="3"/>
  <c r="N205" i="3"/>
  <c r="P204" i="3"/>
  <c r="C204" i="3"/>
  <c r="D204" i="3"/>
  <c r="U204" i="3"/>
  <c r="N206" i="3"/>
  <c r="P205" i="3"/>
  <c r="C205" i="3"/>
  <c r="D205" i="3"/>
  <c r="U205" i="3"/>
  <c r="N207" i="3"/>
  <c r="P206" i="3"/>
  <c r="C206" i="3"/>
  <c r="D206" i="3"/>
  <c r="U206" i="3"/>
  <c r="N208" i="3"/>
  <c r="P207" i="3"/>
  <c r="C207" i="3"/>
  <c r="D207" i="3"/>
  <c r="U207" i="3"/>
  <c r="N209" i="3"/>
  <c r="P208" i="3"/>
  <c r="C208" i="3"/>
  <c r="D208" i="3"/>
  <c r="U208" i="3"/>
  <c r="U209" i="3"/>
  <c r="H159" i="3"/>
  <c r="M165" i="3"/>
  <c r="O133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M164" i="3"/>
  <c r="Z133" i="3"/>
  <c r="Z134" i="3"/>
  <c r="Z135" i="3"/>
  <c r="Z136" i="3"/>
  <c r="Z137" i="3"/>
  <c r="Z138" i="3"/>
  <c r="Z139" i="3"/>
  <c r="Z140" i="3"/>
  <c r="Z141" i="3"/>
  <c r="Z142" i="3"/>
  <c r="Z143" i="3"/>
  <c r="Z144" i="3"/>
  <c r="Z145" i="3"/>
  <c r="Z146" i="3"/>
  <c r="Z147" i="3"/>
  <c r="Z148" i="3"/>
  <c r="Z149" i="3"/>
  <c r="Z150" i="3"/>
  <c r="Z151" i="3"/>
  <c r="Z152" i="3"/>
  <c r="Z153" i="3"/>
  <c r="Z154" i="3"/>
  <c r="Z155" i="3"/>
  <c r="Z156" i="3"/>
  <c r="Z157" i="3"/>
  <c r="Z158" i="3"/>
  <c r="Z159" i="3"/>
  <c r="Z160" i="3"/>
  <c r="Z161" i="3"/>
  <c r="Z162" i="3"/>
  <c r="Z163" i="3"/>
  <c r="Z164" i="3"/>
  <c r="Z165" i="3"/>
  <c r="Z166" i="3"/>
  <c r="Z167" i="3"/>
  <c r="Z168" i="3"/>
  <c r="Z169" i="3"/>
  <c r="Z131" i="3"/>
  <c r="Y131" i="3"/>
  <c r="S208" i="3"/>
  <c r="S207" i="3"/>
  <c r="S206" i="3"/>
  <c r="S205" i="3"/>
  <c r="S204" i="3"/>
  <c r="S203" i="3"/>
  <c r="S202" i="3"/>
  <c r="S201" i="3"/>
  <c r="S200" i="3"/>
  <c r="S199" i="3"/>
  <c r="S198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209" i="3"/>
  <c r="M162" i="3"/>
  <c r="D129" i="3"/>
  <c r="F145" i="3"/>
  <c r="N210" i="3"/>
  <c r="R207" i="3"/>
  <c r="R206" i="3"/>
  <c r="P133" i="3"/>
  <c r="P134" i="3"/>
  <c r="P135" i="3"/>
  <c r="P136" i="3"/>
  <c r="V148" i="3"/>
  <c r="V173" i="3"/>
  <c r="G6" i="1"/>
  <c r="H6" i="1"/>
  <c r="L6" i="1"/>
  <c r="B26" i="1"/>
  <c r="A26" i="1"/>
  <c r="E20" i="1"/>
  <c r="E21" i="1"/>
  <c r="E22" i="1"/>
  <c r="E23" i="1"/>
  <c r="E24" i="1"/>
  <c r="E25" i="1"/>
  <c r="E26" i="1"/>
  <c r="O26" i="1"/>
  <c r="F26" i="1"/>
  <c r="R26" i="1"/>
  <c r="G26" i="1"/>
  <c r="B25" i="1"/>
  <c r="A25" i="1"/>
  <c r="O25" i="1"/>
  <c r="F25" i="1"/>
  <c r="R25" i="1"/>
  <c r="G25" i="1"/>
  <c r="B24" i="1"/>
  <c r="A24" i="1"/>
  <c r="O24" i="1"/>
  <c r="F24" i="1"/>
  <c r="R24" i="1"/>
  <c r="G24" i="1"/>
  <c r="B23" i="1"/>
  <c r="A23" i="1"/>
  <c r="O23" i="1"/>
  <c r="F23" i="1"/>
  <c r="R23" i="1"/>
  <c r="G23" i="1"/>
  <c r="B22" i="1"/>
  <c r="A22" i="1"/>
  <c r="O22" i="1"/>
  <c r="F22" i="1"/>
  <c r="R22" i="1"/>
  <c r="G22" i="1"/>
  <c r="B21" i="1"/>
  <c r="A21" i="1"/>
  <c r="O21" i="1"/>
  <c r="F21" i="1"/>
  <c r="R21" i="1"/>
  <c r="G21" i="1"/>
  <c r="B20" i="1"/>
  <c r="A20" i="1"/>
  <c r="O20" i="1"/>
  <c r="F20" i="1"/>
  <c r="R20" i="1"/>
  <c r="G20" i="1"/>
  <c r="O19" i="1"/>
  <c r="F19" i="1"/>
  <c r="R19" i="1"/>
  <c r="G19" i="1"/>
  <c r="D26" i="1"/>
  <c r="D25" i="1"/>
  <c r="D24" i="1"/>
  <c r="D23" i="1"/>
  <c r="D22" i="1"/>
  <c r="D21" i="1"/>
  <c r="D20" i="1"/>
  <c r="C26" i="1"/>
  <c r="C25" i="1"/>
  <c r="C24" i="1"/>
  <c r="C23" i="1"/>
  <c r="C22" i="1"/>
  <c r="C21" i="1"/>
  <c r="C20" i="1"/>
  <c r="B13" i="1"/>
  <c r="B12" i="1"/>
  <c r="B11" i="1"/>
  <c r="B10" i="1"/>
  <c r="B9" i="1"/>
  <c r="B8" i="1"/>
  <c r="B7" i="1"/>
  <c r="A13" i="1"/>
  <c r="A12" i="1"/>
  <c r="A11" i="1"/>
  <c r="A10" i="1"/>
  <c r="A9" i="1"/>
  <c r="A8" i="1"/>
  <c r="A7" i="1"/>
  <c r="B37" i="1"/>
  <c r="B35" i="1"/>
  <c r="C32" i="1"/>
  <c r="D29" i="1"/>
  <c r="I13" i="1"/>
  <c r="H26" i="1"/>
  <c r="J26" i="1"/>
  <c r="M26" i="1"/>
  <c r="I26" i="1"/>
  <c r="N26" i="1"/>
  <c r="L26" i="1"/>
  <c r="I12" i="1"/>
  <c r="H25" i="1"/>
  <c r="J25" i="1"/>
  <c r="M25" i="1"/>
  <c r="I25" i="1"/>
  <c r="N25" i="1"/>
  <c r="L25" i="1"/>
  <c r="I11" i="1"/>
  <c r="H24" i="1"/>
  <c r="J24" i="1"/>
  <c r="M24" i="1"/>
  <c r="I24" i="1"/>
  <c r="N24" i="1"/>
  <c r="L24" i="1"/>
  <c r="I10" i="1"/>
  <c r="H23" i="1"/>
  <c r="J23" i="1"/>
  <c r="M23" i="1"/>
  <c r="I23" i="1"/>
  <c r="N23" i="1"/>
  <c r="L23" i="1"/>
  <c r="I9" i="1"/>
  <c r="H22" i="1"/>
  <c r="J22" i="1"/>
  <c r="M22" i="1"/>
  <c r="I22" i="1"/>
  <c r="N22" i="1"/>
  <c r="L22" i="1"/>
  <c r="I8" i="1"/>
  <c r="H21" i="1"/>
  <c r="J21" i="1"/>
  <c r="M21" i="1"/>
  <c r="I21" i="1"/>
  <c r="N21" i="1"/>
  <c r="L21" i="1"/>
  <c r="I7" i="1"/>
  <c r="H20" i="1"/>
  <c r="J20" i="1"/>
  <c r="M20" i="1"/>
  <c r="I20" i="1"/>
  <c r="N20" i="1"/>
  <c r="L20" i="1"/>
  <c r="I6" i="1"/>
  <c r="H19" i="1"/>
  <c r="J19" i="1"/>
  <c r="P19" i="1"/>
  <c r="I19" i="1"/>
  <c r="Q19" i="1"/>
  <c r="M19" i="1"/>
  <c r="N19" i="1"/>
  <c r="L19" i="1"/>
  <c r="K13" i="1"/>
  <c r="J13" i="1"/>
  <c r="H13" i="1"/>
  <c r="G13" i="1"/>
  <c r="F13" i="1"/>
  <c r="E13" i="1"/>
  <c r="K12" i="1"/>
  <c r="J12" i="1"/>
  <c r="H12" i="1"/>
  <c r="G12" i="1"/>
  <c r="F12" i="1"/>
  <c r="E12" i="1"/>
  <c r="K11" i="1"/>
  <c r="J11" i="1"/>
  <c r="H11" i="1"/>
  <c r="G11" i="1"/>
  <c r="F11" i="1"/>
  <c r="E11" i="1"/>
  <c r="F6" i="1"/>
  <c r="K10" i="1"/>
  <c r="J10" i="1"/>
  <c r="H10" i="1"/>
  <c r="G10" i="1"/>
  <c r="F10" i="1"/>
  <c r="E10" i="1"/>
  <c r="K9" i="1"/>
  <c r="J9" i="1"/>
  <c r="H9" i="1"/>
  <c r="G9" i="1"/>
  <c r="F9" i="1"/>
  <c r="E9" i="1"/>
  <c r="K8" i="1"/>
  <c r="J8" i="1"/>
  <c r="H8" i="1"/>
  <c r="G8" i="1"/>
  <c r="F8" i="1"/>
  <c r="E8" i="1"/>
  <c r="K7" i="1"/>
  <c r="J7" i="1"/>
  <c r="H7" i="1"/>
  <c r="G7" i="1"/>
  <c r="F7" i="1"/>
  <c r="E7" i="1"/>
  <c r="N6" i="1"/>
  <c r="O6" i="1"/>
  <c r="J6" i="1"/>
  <c r="M6" i="1"/>
  <c r="K6" i="1"/>
  <c r="E6" i="1"/>
  <c r="D6" i="1"/>
  <c r="Q20" i="2"/>
  <c r="C19" i="2"/>
  <c r="D19" i="2"/>
  <c r="E19" i="2"/>
  <c r="F19" i="2"/>
  <c r="G19" i="2"/>
  <c r="H19" i="2"/>
  <c r="F76" i="2"/>
  <c r="G76" i="2"/>
  <c r="F77" i="2"/>
  <c r="G77" i="2"/>
  <c r="F78" i="2"/>
  <c r="G78" i="2"/>
  <c r="F79" i="2"/>
  <c r="G79" i="2"/>
  <c r="F80" i="2"/>
  <c r="G80" i="2"/>
  <c r="F81" i="2"/>
  <c r="G81" i="2"/>
  <c r="C82" i="2"/>
  <c r="F82" i="2"/>
  <c r="G82" i="2"/>
  <c r="F83" i="2"/>
  <c r="G83" i="2"/>
  <c r="G87" i="2"/>
  <c r="F84" i="2"/>
  <c r="F85" i="2"/>
  <c r="F86" i="2"/>
  <c r="G86" i="2"/>
  <c r="G85" i="2"/>
  <c r="G84" i="2"/>
  <c r="B68" i="2"/>
  <c r="E65" i="2"/>
  <c r="C68" i="2"/>
  <c r="D68" i="2"/>
  <c r="E68" i="2"/>
  <c r="F68" i="2"/>
  <c r="G68" i="2"/>
  <c r="H68" i="2"/>
  <c r="I68" i="2"/>
  <c r="J68" i="2"/>
  <c r="K68" i="2"/>
  <c r="L68" i="2"/>
  <c r="L69" i="2"/>
  <c r="K69" i="2"/>
  <c r="L70" i="2"/>
  <c r="J69" i="2"/>
  <c r="K70" i="2"/>
  <c r="I69" i="2"/>
  <c r="J70" i="2"/>
  <c r="H69" i="2"/>
  <c r="I70" i="2"/>
  <c r="G69" i="2"/>
  <c r="H70" i="2"/>
  <c r="F69" i="2"/>
  <c r="G70" i="2"/>
  <c r="E69" i="2"/>
  <c r="F70" i="2"/>
  <c r="D69" i="2"/>
  <c r="E70" i="2"/>
  <c r="C69" i="2"/>
  <c r="D70" i="2"/>
  <c r="B69" i="2"/>
  <c r="C70" i="2"/>
  <c r="B58" i="2"/>
  <c r="E55" i="2"/>
  <c r="C58" i="2"/>
  <c r="D58" i="2"/>
  <c r="E58" i="2"/>
  <c r="F58" i="2"/>
  <c r="G58" i="2"/>
  <c r="H58" i="2"/>
  <c r="I58" i="2"/>
  <c r="J58" i="2"/>
  <c r="K58" i="2"/>
  <c r="L58" i="2"/>
  <c r="L59" i="2"/>
  <c r="K59" i="2"/>
  <c r="L60" i="2"/>
  <c r="J59" i="2"/>
  <c r="K60" i="2"/>
  <c r="I59" i="2"/>
  <c r="J60" i="2"/>
  <c r="H59" i="2"/>
  <c r="I60" i="2"/>
  <c r="G59" i="2"/>
  <c r="H60" i="2"/>
  <c r="F59" i="2"/>
  <c r="G60" i="2"/>
  <c r="E59" i="2"/>
  <c r="F60" i="2"/>
  <c r="D59" i="2"/>
  <c r="E60" i="2"/>
  <c r="C59" i="2"/>
  <c r="D60" i="2"/>
  <c r="B59" i="2"/>
  <c r="C60" i="2"/>
  <c r="B48" i="2"/>
  <c r="E45" i="2"/>
  <c r="C48" i="2"/>
  <c r="D48" i="2"/>
  <c r="E48" i="2"/>
  <c r="F48" i="2"/>
  <c r="G48" i="2"/>
  <c r="H48" i="2"/>
  <c r="I48" i="2"/>
  <c r="J48" i="2"/>
  <c r="K48" i="2"/>
  <c r="L48" i="2"/>
  <c r="L49" i="2"/>
  <c r="K49" i="2"/>
  <c r="L50" i="2"/>
  <c r="J49" i="2"/>
  <c r="K50" i="2"/>
  <c r="I49" i="2"/>
  <c r="J50" i="2"/>
  <c r="H49" i="2"/>
  <c r="I50" i="2"/>
  <c r="G49" i="2"/>
  <c r="H50" i="2"/>
  <c r="F49" i="2"/>
  <c r="G50" i="2"/>
  <c r="E49" i="2"/>
  <c r="F50" i="2"/>
  <c r="D49" i="2"/>
  <c r="E50" i="2"/>
  <c r="C49" i="2"/>
  <c r="D50" i="2"/>
  <c r="B49" i="2"/>
  <c r="C50" i="2"/>
  <c r="B38" i="2"/>
  <c r="E35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Q39" i="2"/>
  <c r="P39" i="2"/>
  <c r="Q40" i="2"/>
  <c r="O39" i="2"/>
  <c r="P40" i="2"/>
  <c r="N39" i="2"/>
  <c r="O40" i="2"/>
  <c r="M39" i="2"/>
  <c r="N40" i="2"/>
  <c r="L39" i="2"/>
  <c r="M40" i="2"/>
  <c r="K39" i="2"/>
  <c r="L40" i="2"/>
  <c r="J39" i="2"/>
  <c r="K40" i="2"/>
  <c r="I39" i="2"/>
  <c r="J40" i="2"/>
  <c r="H39" i="2"/>
  <c r="I40" i="2"/>
  <c r="G39" i="2"/>
  <c r="H40" i="2"/>
  <c r="F39" i="2"/>
  <c r="G40" i="2"/>
  <c r="E39" i="2"/>
  <c r="F40" i="2"/>
  <c r="D39" i="2"/>
  <c r="E40" i="2"/>
  <c r="C39" i="2"/>
  <c r="D40" i="2"/>
  <c r="B39" i="2"/>
  <c r="C40" i="2"/>
  <c r="O35" i="2"/>
  <c r="Q35" i="2"/>
  <c r="N35" i="2"/>
  <c r="P35" i="2"/>
  <c r="M35" i="2"/>
  <c r="L35" i="2"/>
  <c r="J35" i="2"/>
  <c r="K35" i="2"/>
  <c r="F35" i="2"/>
  <c r="K32" i="2"/>
  <c r="Q21" i="2"/>
  <c r="C26" i="2"/>
  <c r="C27" i="2"/>
  <c r="C28" i="2"/>
  <c r="D26" i="2"/>
  <c r="D27" i="2"/>
  <c r="D28" i="2"/>
  <c r="B29" i="2"/>
  <c r="E26" i="2"/>
  <c r="F26" i="2"/>
  <c r="G26" i="2"/>
  <c r="H26" i="2"/>
  <c r="I26" i="2"/>
  <c r="J26" i="2"/>
  <c r="K26" i="2"/>
  <c r="L26" i="2"/>
  <c r="L27" i="2"/>
  <c r="L28" i="2"/>
  <c r="K27" i="2"/>
  <c r="K28" i="2"/>
  <c r="J27" i="2"/>
  <c r="J28" i="2"/>
  <c r="I27" i="2"/>
  <c r="I28" i="2"/>
  <c r="H27" i="2"/>
  <c r="H28" i="2"/>
  <c r="G27" i="2"/>
  <c r="G28" i="2"/>
  <c r="F27" i="2"/>
  <c r="F28" i="2"/>
  <c r="E27" i="2"/>
  <c r="E28" i="2"/>
  <c r="O23" i="2"/>
  <c r="N23" i="2"/>
  <c r="C20" i="2"/>
  <c r="C21" i="2"/>
  <c r="D20" i="2"/>
  <c r="D21" i="2"/>
  <c r="B22" i="2"/>
  <c r="I19" i="2"/>
  <c r="J19" i="2"/>
  <c r="K19" i="2"/>
  <c r="L19" i="2"/>
  <c r="L20" i="2"/>
  <c r="L21" i="2"/>
  <c r="K20" i="2"/>
  <c r="K21" i="2"/>
  <c r="J20" i="2"/>
  <c r="J21" i="2"/>
  <c r="I20" i="2"/>
  <c r="I21" i="2"/>
  <c r="H20" i="2"/>
  <c r="H21" i="2"/>
  <c r="G20" i="2"/>
  <c r="G21" i="2"/>
  <c r="F20" i="2"/>
  <c r="F21" i="2"/>
  <c r="E20" i="2"/>
  <c r="E21" i="2"/>
  <c r="Q19" i="2"/>
  <c r="O19" i="2"/>
  <c r="Q18" i="2"/>
  <c r="C12" i="2"/>
  <c r="C13" i="2"/>
  <c r="C14" i="2"/>
  <c r="D12" i="2"/>
  <c r="D13" i="2"/>
  <c r="D14" i="2"/>
  <c r="B15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V13" i="2"/>
  <c r="V14" i="2"/>
  <c r="U13" i="2"/>
  <c r="U14" i="2"/>
  <c r="T13" i="2"/>
  <c r="T14" i="2"/>
  <c r="S13" i="2"/>
  <c r="S14" i="2"/>
  <c r="R13" i="2"/>
  <c r="R14" i="2"/>
  <c r="Q13" i="2"/>
  <c r="Q14" i="2"/>
  <c r="P13" i="2"/>
  <c r="P14" i="2"/>
  <c r="O13" i="2"/>
  <c r="O14" i="2"/>
  <c r="N13" i="2"/>
  <c r="N14" i="2"/>
  <c r="M13" i="2"/>
  <c r="M14" i="2"/>
  <c r="L13" i="2"/>
  <c r="L14" i="2"/>
  <c r="K13" i="2"/>
  <c r="K14" i="2"/>
  <c r="J13" i="2"/>
  <c r="J14" i="2"/>
  <c r="I13" i="2"/>
  <c r="I14" i="2"/>
  <c r="H13" i="2"/>
  <c r="H14" i="2"/>
  <c r="G13" i="2"/>
  <c r="G14" i="2"/>
  <c r="F13" i="2"/>
  <c r="F14" i="2"/>
  <c r="E13" i="2"/>
  <c r="E14" i="2"/>
  <c r="C5" i="2"/>
  <c r="C6" i="2"/>
  <c r="C7" i="2"/>
  <c r="D5" i="2"/>
  <c r="D6" i="2"/>
  <c r="D7" i="2"/>
  <c r="B8" i="2"/>
  <c r="E5" i="2"/>
  <c r="F5" i="2"/>
  <c r="G5" i="2"/>
  <c r="H5" i="2"/>
  <c r="I5" i="2"/>
  <c r="J5" i="2"/>
  <c r="K5" i="2"/>
  <c r="L5" i="2"/>
  <c r="L6" i="2"/>
  <c r="L7" i="2"/>
  <c r="K6" i="2"/>
  <c r="K7" i="2"/>
  <c r="J6" i="2"/>
  <c r="J7" i="2"/>
  <c r="I6" i="2"/>
  <c r="I7" i="2"/>
  <c r="H6" i="2"/>
  <c r="H7" i="2"/>
  <c r="G6" i="2"/>
  <c r="G7" i="2"/>
  <c r="F6" i="2"/>
  <c r="F7" i="2"/>
  <c r="E6" i="2"/>
  <c r="E7" i="2"/>
  <c r="C49" i="3"/>
  <c r="C47" i="3"/>
  <c r="C45" i="3"/>
  <c r="C43" i="3"/>
  <c r="C41" i="3"/>
  <c r="C39" i="3"/>
  <c r="C37" i="3"/>
  <c r="C35" i="3"/>
  <c r="C33" i="3"/>
  <c r="C31" i="3"/>
  <c r="C29" i="3"/>
  <c r="C27" i="3"/>
  <c r="C25" i="3"/>
  <c r="Q142" i="3"/>
  <c r="R151" i="3"/>
  <c r="T151" i="3"/>
  <c r="R152" i="3"/>
  <c r="T152" i="3"/>
  <c r="R153" i="3"/>
  <c r="T153" i="3"/>
  <c r="R154" i="3"/>
  <c r="T154" i="3"/>
  <c r="R155" i="3"/>
  <c r="T155" i="3"/>
  <c r="R156" i="3"/>
  <c r="T156" i="3"/>
  <c r="R157" i="3"/>
  <c r="T157" i="3"/>
  <c r="R158" i="3"/>
  <c r="T158" i="3"/>
  <c r="R159" i="3"/>
  <c r="T159" i="3"/>
  <c r="R160" i="3"/>
  <c r="T160" i="3"/>
  <c r="R161" i="3"/>
  <c r="T161" i="3"/>
  <c r="R162" i="3"/>
  <c r="T162" i="3"/>
  <c r="R163" i="3"/>
  <c r="T163" i="3"/>
  <c r="R164" i="3"/>
  <c r="T164" i="3"/>
  <c r="R165" i="3"/>
  <c r="T165" i="3"/>
  <c r="R166" i="3"/>
  <c r="T166" i="3"/>
  <c r="R167" i="3"/>
  <c r="T167" i="3"/>
  <c r="R168" i="3"/>
  <c r="T168" i="3"/>
  <c r="R169" i="3"/>
  <c r="T169" i="3"/>
  <c r="R170" i="3"/>
  <c r="T170" i="3"/>
  <c r="R171" i="3"/>
  <c r="T171" i="3"/>
  <c r="R172" i="3"/>
  <c r="T172" i="3"/>
  <c r="R173" i="3"/>
  <c r="T173" i="3"/>
  <c r="R174" i="3"/>
  <c r="T174" i="3"/>
  <c r="R175" i="3"/>
  <c r="T175" i="3"/>
  <c r="R176" i="3"/>
  <c r="T176" i="3"/>
  <c r="R177" i="3"/>
  <c r="T177" i="3"/>
  <c r="R178" i="3"/>
  <c r="T178" i="3"/>
  <c r="R179" i="3"/>
  <c r="T179" i="3"/>
  <c r="R180" i="3"/>
  <c r="T180" i="3"/>
  <c r="R181" i="3"/>
  <c r="T181" i="3"/>
  <c r="R182" i="3"/>
  <c r="T182" i="3"/>
  <c r="R183" i="3"/>
  <c r="T183" i="3"/>
  <c r="R184" i="3"/>
  <c r="T184" i="3"/>
  <c r="R185" i="3"/>
  <c r="T185" i="3"/>
  <c r="R186" i="3"/>
  <c r="T186" i="3"/>
  <c r="R187" i="3"/>
  <c r="T187" i="3"/>
  <c r="R188" i="3"/>
  <c r="T188" i="3"/>
  <c r="R189" i="3"/>
  <c r="T189" i="3"/>
  <c r="R190" i="3"/>
  <c r="T190" i="3"/>
  <c r="R191" i="3"/>
  <c r="T191" i="3"/>
  <c r="R192" i="3"/>
  <c r="T192" i="3"/>
  <c r="R193" i="3"/>
  <c r="T193" i="3"/>
  <c r="R194" i="3"/>
  <c r="T194" i="3"/>
  <c r="R195" i="3"/>
  <c r="T195" i="3"/>
  <c r="R196" i="3"/>
  <c r="T196" i="3"/>
  <c r="R197" i="3"/>
  <c r="T197" i="3"/>
  <c r="R198" i="3"/>
  <c r="T198" i="3"/>
  <c r="R199" i="3"/>
  <c r="T199" i="3"/>
  <c r="R200" i="3"/>
  <c r="T200" i="3"/>
  <c r="R201" i="3"/>
  <c r="T201" i="3"/>
  <c r="R202" i="3"/>
  <c r="T202" i="3"/>
  <c r="R203" i="3"/>
  <c r="T203" i="3"/>
  <c r="R204" i="3"/>
  <c r="T204" i="3"/>
  <c r="R205" i="3"/>
  <c r="T205" i="3"/>
  <c r="T206" i="3"/>
  <c r="T207" i="3"/>
  <c r="T208" i="3"/>
  <c r="M163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R146" i="3"/>
  <c r="R147" i="3"/>
  <c r="R148" i="3"/>
  <c r="R149" i="3"/>
  <c r="R150" i="3"/>
  <c r="W197" i="3"/>
  <c r="W196" i="3"/>
  <c r="W195" i="3"/>
  <c r="W194" i="3"/>
  <c r="W193" i="3"/>
  <c r="W192" i="3"/>
  <c r="W191" i="3"/>
  <c r="W190" i="3"/>
  <c r="W189" i="3"/>
  <c r="W188" i="3"/>
  <c r="W187" i="3"/>
  <c r="W186" i="3"/>
  <c r="W185" i="3"/>
  <c r="W184" i="3"/>
  <c r="W183" i="3"/>
  <c r="W182" i="3"/>
  <c r="W181" i="3"/>
  <c r="W180" i="3"/>
  <c r="W179" i="3"/>
  <c r="W178" i="3"/>
  <c r="W177" i="3"/>
  <c r="W176" i="3"/>
  <c r="W175" i="3"/>
  <c r="W174" i="3"/>
  <c r="W173" i="3"/>
  <c r="W172" i="3"/>
  <c r="V172" i="3"/>
  <c r="W171" i="3"/>
  <c r="V171" i="3"/>
  <c r="W170" i="3"/>
  <c r="V170" i="3"/>
  <c r="W169" i="3"/>
  <c r="V169" i="3"/>
  <c r="W168" i="3"/>
  <c r="V168" i="3"/>
  <c r="W167" i="3"/>
  <c r="V167" i="3"/>
  <c r="W166" i="3"/>
  <c r="V166" i="3"/>
  <c r="W165" i="3"/>
  <c r="V165" i="3"/>
  <c r="W164" i="3"/>
  <c r="V164" i="3"/>
  <c r="W163" i="3"/>
  <c r="V163" i="3"/>
  <c r="W162" i="3"/>
  <c r="V162" i="3"/>
  <c r="W161" i="3"/>
  <c r="V161" i="3"/>
  <c r="W160" i="3"/>
  <c r="V160" i="3"/>
  <c r="W159" i="3"/>
  <c r="V159" i="3"/>
  <c r="F146" i="3"/>
  <c r="K159" i="3"/>
  <c r="W158" i="3"/>
  <c r="V158" i="3"/>
  <c r="W157" i="3"/>
  <c r="V157" i="3"/>
  <c r="K157" i="3"/>
  <c r="W156" i="3"/>
  <c r="V156" i="3"/>
  <c r="W155" i="3"/>
  <c r="V155" i="3"/>
  <c r="W154" i="3"/>
  <c r="V154" i="3"/>
  <c r="W153" i="3"/>
  <c r="V153" i="3"/>
  <c r="W152" i="3"/>
  <c r="V152" i="3"/>
  <c r="W151" i="3"/>
  <c r="V151" i="3"/>
  <c r="W150" i="3"/>
  <c r="V150" i="3"/>
  <c r="W149" i="3"/>
  <c r="V149" i="3"/>
  <c r="W148" i="3"/>
  <c r="W147" i="3"/>
  <c r="V147" i="3"/>
  <c r="W146" i="3"/>
  <c r="V146" i="3"/>
  <c r="W145" i="3"/>
  <c r="V145" i="3"/>
  <c r="W144" i="3"/>
  <c r="V144" i="3"/>
  <c r="W143" i="3"/>
  <c r="V143" i="3"/>
  <c r="W142" i="3"/>
  <c r="V142" i="3"/>
  <c r="V141" i="3"/>
  <c r="V140" i="3"/>
  <c r="V139" i="3"/>
  <c r="V138" i="3"/>
  <c r="V137" i="3"/>
  <c r="V136" i="3"/>
  <c r="V135" i="3"/>
  <c r="V134" i="3"/>
  <c r="V133" i="3"/>
  <c r="F118" i="3"/>
  <c r="E118" i="3"/>
  <c r="F117" i="3"/>
  <c r="E117" i="3"/>
  <c r="F116" i="3"/>
  <c r="E116" i="3"/>
  <c r="F115" i="3"/>
  <c r="E115" i="3"/>
  <c r="F114" i="3"/>
  <c r="E114" i="3"/>
  <c r="F113" i="3"/>
  <c r="E113" i="3"/>
  <c r="F112" i="3"/>
  <c r="E112" i="3"/>
  <c r="F111" i="3"/>
  <c r="E111" i="3"/>
  <c r="F110" i="3"/>
  <c r="E110" i="3"/>
  <c r="F109" i="3"/>
  <c r="E109" i="3"/>
  <c r="N108" i="3"/>
  <c r="F108" i="3"/>
  <c r="E108" i="3"/>
  <c r="N107" i="3"/>
  <c r="F107" i="3"/>
  <c r="E107" i="3"/>
  <c r="N106" i="3"/>
  <c r="F106" i="3"/>
  <c r="E106" i="3"/>
  <c r="N105" i="3"/>
  <c r="F105" i="3"/>
  <c r="E105" i="3"/>
  <c r="N104" i="3"/>
  <c r="F104" i="3"/>
  <c r="E104" i="3"/>
  <c r="N103" i="3"/>
  <c r="F103" i="3"/>
  <c r="E103" i="3"/>
  <c r="N102" i="3"/>
  <c r="F102" i="3"/>
  <c r="E102" i="3"/>
  <c r="N101" i="3"/>
  <c r="F101" i="3"/>
  <c r="E101" i="3"/>
  <c r="N100" i="3"/>
  <c r="D3" i="3"/>
  <c r="I100" i="3"/>
  <c r="F100" i="3"/>
  <c r="E100" i="3"/>
  <c r="N99" i="3"/>
  <c r="F99" i="3"/>
  <c r="E99" i="3"/>
  <c r="N98" i="3"/>
  <c r="F98" i="3"/>
  <c r="E98" i="3"/>
  <c r="N97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F75" i="3"/>
  <c r="K97" i="3"/>
  <c r="F97" i="3"/>
  <c r="E97" i="3"/>
  <c r="F96" i="3"/>
  <c r="E96" i="3"/>
  <c r="F95" i="3"/>
  <c r="E95" i="3"/>
  <c r="F94" i="3"/>
  <c r="E94" i="3"/>
  <c r="F93" i="3"/>
  <c r="E93" i="3"/>
  <c r="F92" i="3"/>
  <c r="E92" i="3"/>
  <c r="F91" i="3"/>
  <c r="E91" i="3"/>
  <c r="F90" i="3"/>
  <c r="E90" i="3"/>
  <c r="F89" i="3"/>
  <c r="E89" i="3"/>
  <c r="F88" i="3"/>
  <c r="E88" i="3"/>
  <c r="F87" i="3"/>
  <c r="E87" i="3"/>
  <c r="F76" i="3"/>
  <c r="F81" i="3"/>
  <c r="F83" i="3"/>
  <c r="F77" i="3"/>
  <c r="F82" i="3"/>
  <c r="F80" i="3"/>
  <c r="C75" i="3"/>
  <c r="F74" i="3"/>
  <c r="F73" i="3"/>
  <c r="F72" i="3"/>
  <c r="D72" i="3"/>
  <c r="C72" i="3"/>
  <c r="P64" i="3"/>
  <c r="P65" i="3"/>
  <c r="E54" i="3"/>
  <c r="O54" i="3"/>
  <c r="E53" i="3"/>
  <c r="O53" i="3"/>
  <c r="E52" i="3"/>
  <c r="O52" i="3"/>
  <c r="E51" i="3"/>
  <c r="O51" i="3"/>
  <c r="E50" i="3"/>
  <c r="O50" i="3"/>
  <c r="E49" i="3"/>
  <c r="O49" i="3"/>
  <c r="E48" i="3"/>
  <c r="O48" i="3"/>
  <c r="E47" i="3"/>
  <c r="O47" i="3"/>
  <c r="E46" i="3"/>
  <c r="O46" i="3"/>
  <c r="E45" i="3"/>
  <c r="O45" i="3"/>
  <c r="E44" i="3"/>
  <c r="O44" i="3"/>
  <c r="E43" i="3"/>
  <c r="O43" i="3"/>
  <c r="E42" i="3"/>
  <c r="O42" i="3"/>
  <c r="E41" i="3"/>
  <c r="O41" i="3"/>
  <c r="E40" i="3"/>
  <c r="O40" i="3"/>
  <c r="E39" i="3"/>
  <c r="O39" i="3"/>
  <c r="E38" i="3"/>
  <c r="O38" i="3"/>
  <c r="E37" i="3"/>
  <c r="O37" i="3"/>
  <c r="E36" i="3"/>
  <c r="O36" i="3"/>
  <c r="E35" i="3"/>
  <c r="O35" i="3"/>
  <c r="E34" i="3"/>
  <c r="O34" i="3"/>
  <c r="E33" i="3"/>
  <c r="O33" i="3"/>
  <c r="E32" i="3"/>
  <c r="O32" i="3"/>
  <c r="E31" i="3"/>
  <c r="O31" i="3"/>
  <c r="E30" i="3"/>
  <c r="O30" i="3"/>
  <c r="E29" i="3"/>
  <c r="O29" i="3"/>
  <c r="E28" i="3"/>
  <c r="O28" i="3"/>
  <c r="E27" i="3"/>
  <c r="O27" i="3"/>
  <c r="E26" i="3"/>
  <c r="O26" i="3"/>
  <c r="E25" i="3"/>
  <c r="O25" i="3"/>
  <c r="E24" i="3"/>
  <c r="O24" i="3"/>
  <c r="E23" i="3"/>
  <c r="O23" i="3"/>
  <c r="C23" i="3"/>
  <c r="E22" i="3"/>
  <c r="O22" i="3"/>
  <c r="E21" i="3"/>
  <c r="O21" i="3"/>
  <c r="E18" i="3"/>
  <c r="O18" i="3"/>
  <c r="E19" i="3"/>
  <c r="O19" i="3"/>
  <c r="E20" i="3"/>
  <c r="O20" i="3"/>
  <c r="I21" i="3"/>
  <c r="C19" i="3"/>
  <c r="I17" i="3"/>
  <c r="J17" i="3"/>
  <c r="C17" i="3"/>
  <c r="C15" i="3"/>
  <c r="F12" i="3"/>
  <c r="F14" i="3"/>
  <c r="F13" i="3"/>
  <c r="C13" i="3"/>
  <c r="F11" i="3"/>
  <c r="C11" i="3"/>
  <c r="C9" i="3"/>
  <c r="C7" i="3"/>
  <c r="I33" i="4"/>
  <c r="I30" i="4"/>
  <c r="I24" i="4"/>
  <c r="J24" i="4"/>
  <c r="I25" i="4"/>
  <c r="J25" i="4"/>
  <c r="K25" i="4"/>
  <c r="L25" i="4"/>
  <c r="I23" i="4"/>
  <c r="J23" i="4"/>
  <c r="K24" i="4"/>
  <c r="L24" i="4"/>
  <c r="I22" i="4"/>
  <c r="J22" i="4"/>
  <c r="K23" i="4"/>
  <c r="L23" i="4"/>
  <c r="I21" i="4"/>
  <c r="J21" i="4"/>
  <c r="K22" i="4"/>
  <c r="L22" i="4"/>
  <c r="I20" i="4"/>
  <c r="K21" i="4"/>
  <c r="L21" i="4"/>
  <c r="L20" i="4"/>
  <c r="J20" i="4"/>
  <c r="K19" i="4"/>
  <c r="I18" i="4"/>
  <c r="L14" i="4"/>
  <c r="J8" i="4"/>
  <c r="K8" i="4"/>
  <c r="L8" i="4"/>
  <c r="N8" i="4"/>
  <c r="M8" i="4"/>
  <c r="J7" i="4"/>
  <c r="K7" i="4"/>
  <c r="L7" i="4"/>
  <c r="N7" i="4"/>
  <c r="M7" i="4"/>
  <c r="J6" i="4"/>
  <c r="K6" i="4"/>
  <c r="L6" i="4"/>
  <c r="N6" i="4"/>
  <c r="M6" i="4"/>
  <c r="J5" i="4"/>
  <c r="K5" i="4"/>
  <c r="L5" i="4"/>
  <c r="N5" i="4"/>
  <c r="M5" i="4"/>
  <c r="J4" i="4"/>
  <c r="K4" i="4"/>
  <c r="L4" i="4"/>
  <c r="N4" i="4"/>
  <c r="M4" i="4"/>
  <c r="J3" i="4"/>
  <c r="K3" i="4"/>
  <c r="L3" i="4"/>
  <c r="N3" i="4"/>
  <c r="M3" i="4"/>
</calcChain>
</file>

<file path=xl/sharedStrings.xml><?xml version="1.0" encoding="utf-8"?>
<sst xmlns="http://schemas.openxmlformats.org/spreadsheetml/2006/main" count="644" uniqueCount="500">
  <si>
    <t>rows 6-13. So</t>
    <phoneticPr fontId="14" type="noConversion"/>
  </si>
  <si>
    <t>powerband</t>
    <phoneticPr fontId="14" type="noConversion"/>
  </si>
  <si>
    <t>diameter</t>
    <phoneticPr fontId="14" type="noConversion"/>
  </si>
  <si>
    <t>STAGE</t>
    <phoneticPr fontId="14" type="noConversion"/>
  </si>
  <si>
    <t>FIVE</t>
    <phoneticPr fontId="14" type="noConversion"/>
  </si>
  <si>
    <t>TO</t>
    <phoneticPr fontId="14" type="noConversion"/>
  </si>
  <si>
    <t>240mm</t>
    <phoneticPr fontId="14" type="noConversion"/>
  </si>
  <si>
    <t>190mm</t>
    <phoneticPr fontId="14" type="noConversion"/>
  </si>
  <si>
    <t>90mm</t>
    <phoneticPr fontId="14" type="noConversion"/>
  </si>
  <si>
    <t>160mm</t>
    <phoneticPr fontId="14" type="noConversion"/>
  </si>
  <si>
    <t>200mm</t>
    <phoneticPr fontId="14" type="noConversion"/>
  </si>
  <si>
    <t>RPM</t>
  </si>
  <si>
    <t>gears</t>
  </si>
  <si>
    <t>RPM after</t>
  </si>
  <si>
    <t>upshift at</t>
  </si>
  <si>
    <t>beginning of</t>
  </si>
  <si>
    <t>2nd wave</t>
  </si>
  <si>
    <t>end of</t>
  </si>
  <si>
    <t>diff strength</t>
  </si>
  <si>
    <t>end of diffuser</t>
    <phoneticPr fontId="14" type="noConversion"/>
  </si>
  <si>
    <t>160mm</t>
    <phoneticPr fontId="14" type="noConversion"/>
  </si>
  <si>
    <t>370mm</t>
    <phoneticPr fontId="14" type="noConversion"/>
  </si>
  <si>
    <t>per wheel</t>
    <phoneticPr fontId="14" type="noConversion"/>
  </si>
  <si>
    <t>crank</t>
    <phoneticPr fontId="14" type="noConversion"/>
  </si>
  <si>
    <t>rotations</t>
    <phoneticPr fontId="14" type="noConversion"/>
  </si>
  <si>
    <t>140mm</t>
    <phoneticPr fontId="14" type="noConversion"/>
  </si>
  <si>
    <t>BAFFLE CONE</t>
    <phoneticPr fontId="14" type="noConversion"/>
  </si>
  <si>
    <t>EC</t>
    <phoneticPr fontId="14" type="noConversion"/>
  </si>
  <si>
    <t>in Celsius</t>
    <phoneticPr fontId="14" type="noConversion"/>
  </si>
  <si>
    <t>230mm</t>
    <phoneticPr fontId="14" type="noConversion"/>
  </si>
  <si>
    <t>50mm</t>
    <phoneticPr fontId="14" type="noConversion"/>
  </si>
  <si>
    <t>in millimeters</t>
    <phoneticPr fontId="14" type="noConversion"/>
  </si>
  <si>
    <t>1st cone angle:</t>
    <phoneticPr fontId="14" type="noConversion"/>
  </si>
  <si>
    <t># at BDC</t>
  </si>
  <si>
    <t>diffuser wave</t>
  </si>
  <si>
    <t>2nd cone</t>
    <phoneticPr fontId="14" type="noConversion"/>
  </si>
  <si>
    <t>% reduction:</t>
    <phoneticPr fontId="14" type="noConversion"/>
  </si>
  <si>
    <t>return time of</t>
    <phoneticPr fontId="14" type="noConversion"/>
  </si>
  <si>
    <t>of beginning</t>
    <phoneticPr fontId="14" type="noConversion"/>
  </si>
  <si>
    <t>HEADER</t>
    <phoneticPr fontId="14" type="noConversion"/>
  </si>
  <si>
    <t>wave time</t>
    <phoneticPr fontId="14" type="noConversion"/>
  </si>
  <si>
    <t>STRAIGHT</t>
    <phoneticPr fontId="14" type="noConversion"/>
  </si>
  <si>
    <t>closing ATDC</t>
    <phoneticPr fontId="14" type="noConversion"/>
  </si>
  <si>
    <t>closing ATDC</t>
    <phoneticPr fontId="14" type="noConversion"/>
  </si>
  <si>
    <t>transfer port</t>
    <phoneticPr fontId="14" type="noConversion"/>
  </si>
  <si>
    <t>exhaust port</t>
    <phoneticPr fontId="14" type="noConversion"/>
  </si>
  <si>
    <t>degrees</t>
    <phoneticPr fontId="14" type="noConversion"/>
  </si>
  <si>
    <t>diameter</t>
    <phoneticPr fontId="14" type="noConversion"/>
  </si>
  <si>
    <t>add length</t>
    <phoneticPr fontId="14" type="noConversion"/>
  </si>
  <si>
    <t>9 inch</t>
    <phoneticPr fontId="14" type="noConversion"/>
  </si>
  <si>
    <t>170mm</t>
    <phoneticPr fontId="14" type="noConversion"/>
  </si>
  <si>
    <t>diameter</t>
  </si>
  <si>
    <t>maximum</t>
    <phoneticPr fontId="14" type="noConversion"/>
  </si>
  <si>
    <t>amplitude</t>
    <phoneticPr fontId="14" type="noConversion"/>
  </si>
  <si>
    <t>diffuser mm:</t>
    <phoneticPr fontId="14" type="noConversion"/>
  </si>
  <si>
    <t>BELLY</t>
    <phoneticPr fontId="14" type="noConversion"/>
  </si>
  <si>
    <t># pos TC-EC</t>
    <phoneticPr fontId="14" type="noConversion"/>
  </si>
  <si>
    <t># BDC - TC</t>
    <phoneticPr fontId="14" type="noConversion"/>
  </si>
  <si>
    <t>80mm</t>
    <phoneticPr fontId="14" type="noConversion"/>
  </si>
  <si>
    <t>0mm</t>
    <phoneticPr fontId="14" type="noConversion"/>
  </si>
  <si>
    <t>area:</t>
    <phoneticPr fontId="14" type="noConversion"/>
  </si>
  <si>
    <t>PipeAreas</t>
    <phoneticPr fontId="14" type="noConversion"/>
  </si>
  <si>
    <t>150mm</t>
    <phoneticPr fontId="14" type="noConversion"/>
  </si>
  <si>
    <t>curve c</t>
    <phoneticPr fontId="14" type="noConversion"/>
  </si>
  <si>
    <t>rotation</t>
    <phoneticPr fontId="14" type="noConversion"/>
  </si>
  <si>
    <t>50mm</t>
  </si>
  <si>
    <t>60mm</t>
  </si>
  <si>
    <t>70mm</t>
  </si>
  <si>
    <t>80mm</t>
  </si>
  <si>
    <t>90mm</t>
  </si>
  <si>
    <t>100mm</t>
  </si>
  <si>
    <t>exh dur</t>
    <phoneticPr fontId="14" type="noConversion"/>
  </si>
  <si>
    <t>Volume</t>
    <phoneticPr fontId="14" type="noConversion"/>
  </si>
  <si>
    <t>beginning</t>
    <phoneticPr fontId="14" type="noConversion"/>
  </si>
  <si>
    <t>max rpm</t>
    <phoneticPr fontId="14" type="noConversion"/>
  </si>
  <si>
    <t>RPM</t>
    <phoneticPr fontId="14" type="noConversion"/>
  </si>
  <si>
    <t>EC strength</t>
    <phoneticPr fontId="14" type="noConversion"/>
  </si>
  <si>
    <t>stinger dia.</t>
    <phoneticPr fontId="14" type="noConversion"/>
  </si>
  <si>
    <t>CONE</t>
    <phoneticPr fontId="14" type="noConversion"/>
  </si>
  <si>
    <t>Making</t>
    <phoneticPr fontId="14" type="noConversion"/>
  </si>
  <si>
    <t>PIPE</t>
    <phoneticPr fontId="14" type="noConversion"/>
  </si>
  <si>
    <t>diameter 1</t>
    <phoneticPr fontId="14" type="noConversion"/>
  </si>
  <si>
    <t>large pipe</t>
    <phoneticPr fontId="14" type="noConversion"/>
  </si>
  <si>
    <t>opening ATDC</t>
    <phoneticPr fontId="14" type="noConversion"/>
  </si>
  <si>
    <t>opens</t>
    <phoneticPr fontId="14" type="noConversion"/>
  </si>
  <si>
    <t>10mm</t>
    <phoneticPr fontId="14" type="noConversion"/>
  </si>
  <si>
    <t>20mm</t>
    <phoneticPr fontId="14" type="noConversion"/>
  </si>
  <si>
    <t>30mm</t>
    <phoneticPr fontId="14" type="noConversion"/>
  </si>
  <si>
    <t>exhaust ports:</t>
    <phoneticPr fontId="14" type="noConversion"/>
  </si>
  <si>
    <t>DIFFUSER CONE</t>
    <phoneticPr fontId="14" type="noConversion"/>
  </si>
  <si>
    <t>180mm</t>
    <phoneticPr fontId="14" type="noConversion"/>
  </si>
  <si>
    <t>area reduced:</t>
  </si>
  <si>
    <t>TC to EC</t>
    <phoneticPr fontId="14" type="noConversion"/>
  </si>
  <si>
    <t>degrees ATDC</t>
    <phoneticPr fontId="14" type="noConversion"/>
  </si>
  <si>
    <t>of beginning</t>
    <phoneticPr fontId="14" type="noConversion"/>
  </si>
  <si>
    <t>70mm</t>
    <phoneticPr fontId="14" type="noConversion"/>
  </si>
  <si>
    <t>correction</t>
  </si>
  <si>
    <t>ms time from</t>
  </si>
  <si>
    <t>EO to EC</t>
  </si>
  <si>
    <t>speed at</t>
  </si>
  <si>
    <t>low dia.</t>
    <phoneticPr fontId="14" type="noConversion"/>
  </si>
  <si>
    <t>diffuser width</t>
  </si>
  <si>
    <t>total segments</t>
  </si>
  <si>
    <t>+ wave time</t>
  </si>
  <si>
    <t>total time</t>
  </si>
  <si>
    <t>- wave time</t>
  </si>
  <si>
    <t>diffuser ms:</t>
  </si>
  <si>
    <t>(Diffuser of</t>
  </si>
  <si>
    <t>correct</t>
    <phoneticPr fontId="14" type="noConversion"/>
  </si>
  <si>
    <t>Gear</t>
    <phoneticPr fontId="14" type="noConversion"/>
  </si>
  <si>
    <t>1st</t>
    <phoneticPr fontId="14" type="noConversion"/>
  </si>
  <si>
    <t>2nd</t>
    <phoneticPr fontId="14" type="noConversion"/>
  </si>
  <si>
    <t>3rd</t>
    <phoneticPr fontId="14" type="noConversion"/>
  </si>
  <si>
    <t>4th</t>
    <phoneticPr fontId="14" type="noConversion"/>
  </si>
  <si>
    <t>5th</t>
    <phoneticPr fontId="14" type="noConversion"/>
  </si>
  <si>
    <t>100-370mm)</t>
  </si>
  <si>
    <t>return waves</t>
  </si>
  <si>
    <t>BDC strength</t>
  </si>
  <si>
    <t>RPM@ header temp:</t>
  </si>
  <si>
    <t>positive return</t>
  </si>
  <si>
    <t>wave time</t>
  </si>
  <si>
    <t>baffle wave</t>
  </si>
  <si>
    <t>wave sum</t>
  </si>
  <si>
    <t>RPM:</t>
  </si>
  <si>
    <t>must be from</t>
  </si>
  <si>
    <t>combined waves</t>
    <phoneticPr fontId="14" type="noConversion"/>
  </si>
  <si>
    <t>40mm</t>
    <phoneticPr fontId="14" type="noConversion"/>
  </si>
  <si>
    <t>220 to 600mm</t>
  </si>
  <si>
    <t>Segments</t>
  </si>
  <si>
    <t>mid header</t>
  </si>
  <si>
    <t>MPS</t>
  </si>
  <si>
    <t>inside header</t>
  </si>
  <si>
    <t>Rows 19-26</t>
    <phoneticPr fontId="14" type="noConversion"/>
  </si>
  <si>
    <t>2nd cone dia.</t>
    <phoneticPr fontId="14" type="noConversion"/>
  </si>
  <si>
    <t>baffle MPS</t>
    <phoneticPr fontId="14" type="noConversion"/>
  </si>
  <si>
    <t>exhaust close</t>
    <phoneticPr fontId="14" type="noConversion"/>
  </si>
  <si>
    <t>90mm</t>
    <phoneticPr fontId="14" type="noConversion"/>
  </si>
  <si>
    <t>Calculator</t>
    <phoneticPr fontId="14" type="noConversion"/>
  </si>
  <si>
    <t>wheel circum.</t>
    <phoneticPr fontId="14" type="noConversion"/>
  </si>
  <si>
    <t>10mm</t>
  </si>
  <si>
    <t>20mm</t>
  </si>
  <si>
    <t>30mm</t>
  </si>
  <si>
    <t>ONE</t>
    <phoneticPr fontId="14" type="noConversion"/>
  </si>
  <si>
    <t>exhaust close</t>
  </si>
  <si>
    <t>(divide cm by</t>
    <phoneticPr fontId="14" type="noConversion"/>
  </si>
  <si>
    <t>100)</t>
    <phoneticPr fontId="14" type="noConversion"/>
  </si>
  <si>
    <t>opens)</t>
    <phoneticPr fontId="14" type="noConversion"/>
  </si>
  <si>
    <t>Range</t>
    <phoneticPr fontId="14" type="noConversion"/>
  </si>
  <si>
    <t>diameter</t>
    <phoneticPr fontId="14" type="noConversion"/>
  </si>
  <si>
    <t>COMBINED</t>
    <phoneticPr fontId="14" type="noConversion"/>
  </si>
  <si>
    <t>exhaust duration:</t>
    <phoneticPr fontId="14" type="noConversion"/>
  </si>
  <si>
    <t>STAGE</t>
    <phoneticPr fontId="14" type="noConversion"/>
  </si>
  <si>
    <t>100mm</t>
    <phoneticPr fontId="14" type="noConversion"/>
  </si>
  <si>
    <t>RPM</t>
    <phoneticPr fontId="14" type="noConversion"/>
  </si>
  <si>
    <t>max stinger</t>
    <phoneticPr fontId="14" type="noConversion"/>
  </si>
  <si>
    <t>diamter</t>
    <phoneticPr fontId="14" type="noConversion"/>
  </si>
  <si>
    <t>Amplitude Sum</t>
    <phoneticPr fontId="14" type="noConversion"/>
  </si>
  <si>
    <t>6th</t>
    <phoneticPr fontId="14" type="noConversion"/>
  </si>
  <si>
    <t>each 10mm:</t>
    <phoneticPr fontId="14" type="noConversion"/>
  </si>
  <si>
    <t>Return Wave</t>
    <phoneticPr fontId="14" type="noConversion"/>
  </si>
  <si>
    <t>20mm</t>
    <phoneticPr fontId="14" type="noConversion"/>
  </si>
  <si>
    <t>belly</t>
    <phoneticPr fontId="14" type="noConversion"/>
  </si>
  <si>
    <t>baffle cone</t>
    <phoneticPr fontId="14" type="noConversion"/>
  </si>
  <si>
    <t>2nd cone:</t>
    <phoneticPr fontId="14" type="noConversion"/>
  </si>
  <si>
    <t>area reduced:</t>
    <phoneticPr fontId="14" type="noConversion"/>
  </si>
  <si>
    <t xml:space="preserve"> stinger</t>
    <phoneticPr fontId="14" type="noConversion"/>
  </si>
  <si>
    <t>4.5 inch</t>
    <phoneticPr fontId="14" type="noConversion"/>
  </si>
  <si>
    <t>metal to all</t>
    <phoneticPr fontId="14" type="noConversion"/>
  </si>
  <si>
    <t>3rd cone dia.</t>
    <phoneticPr fontId="14" type="noConversion"/>
  </si>
  <si>
    <t>3rd cone angle</t>
    <phoneticPr fontId="14" type="noConversion"/>
  </si>
  <si>
    <t>equiv inches</t>
    <phoneticPr fontId="14" type="noConversion"/>
  </si>
  <si>
    <t>use entered</t>
    <phoneticPr fontId="14" type="noConversion"/>
  </si>
  <si>
    <t>diffuser + belly</t>
  </si>
  <si>
    <t>together</t>
  </si>
  <si>
    <t>avg BDC to TC</t>
    <phoneticPr fontId="14" type="noConversion"/>
  </si>
  <si>
    <t>TC strength</t>
    <phoneticPr fontId="14" type="noConversion"/>
  </si>
  <si>
    <t>blowdown degrees</t>
    <phoneticPr fontId="14" type="noConversion"/>
  </si>
  <si>
    <t>exhaust open</t>
    <phoneticPr fontId="14" type="noConversion"/>
  </si>
  <si>
    <t>transfer open</t>
    <phoneticPr fontId="14" type="noConversion"/>
  </si>
  <si>
    <t>BDC</t>
    <phoneticPr fontId="14" type="noConversion"/>
  </si>
  <si>
    <t>80mm</t>
    <phoneticPr fontId="14" type="noConversion"/>
  </si>
  <si>
    <t>250mm</t>
    <phoneticPr fontId="14" type="noConversion"/>
  </si>
  <si>
    <t>260mm</t>
    <phoneticPr fontId="14" type="noConversion"/>
  </si>
  <si>
    <t>270mm</t>
    <phoneticPr fontId="14" type="noConversion"/>
  </si>
  <si>
    <t>220mm</t>
    <phoneticPr fontId="14" type="noConversion"/>
  </si>
  <si>
    <t>area % change:</t>
    <phoneticPr fontId="14" type="noConversion"/>
  </si>
  <si>
    <t>rpm</t>
    <phoneticPr fontId="14" type="noConversion"/>
  </si>
  <si>
    <t>degrees</t>
    <phoneticPr fontId="14" type="noConversion"/>
  </si>
  <si>
    <t>milliseconds</t>
    <phoneticPr fontId="14" type="noConversion"/>
  </si>
  <si>
    <t>TO QUAD</t>
    <phoneticPr fontId="14" type="noConversion"/>
  </si>
  <si>
    <t>beginning of</t>
    <phoneticPr fontId="14" type="noConversion"/>
  </si>
  <si>
    <t>mid-hdr temp</t>
    <phoneticPr fontId="14" type="noConversion"/>
  </si>
  <si>
    <t>230mm</t>
    <phoneticPr fontId="14" type="noConversion"/>
  </si>
  <si>
    <t>150mm</t>
    <phoneticPr fontId="14" type="noConversion"/>
  </si>
  <si>
    <t>160mm</t>
    <phoneticPr fontId="14" type="noConversion"/>
  </si>
  <si>
    <t>TOTAL VOLUME--&gt;</t>
    <phoneticPr fontId="14" type="noConversion"/>
  </si>
  <si>
    <t>50mm</t>
    <phoneticPr fontId="14" type="noConversion"/>
  </si>
  <si>
    <t>60mm</t>
    <phoneticPr fontId="14" type="noConversion"/>
  </si>
  <si>
    <t>70mm</t>
    <phoneticPr fontId="14" type="noConversion"/>
  </si>
  <si>
    <t>exhaust open</t>
    <phoneticPr fontId="14" type="noConversion"/>
  </si>
  <si>
    <t>130mm</t>
    <phoneticPr fontId="14" type="noConversion"/>
  </si>
  <si>
    <t>240mm</t>
    <phoneticPr fontId="14" type="noConversion"/>
  </si>
  <si>
    <t>250mm</t>
    <phoneticPr fontId="14" type="noConversion"/>
  </si>
  <si>
    <t>3rd cone:</t>
    <phoneticPr fontId="14" type="noConversion"/>
  </si>
  <si>
    <t>120mm</t>
    <phoneticPr fontId="14" type="noConversion"/>
  </si>
  <si>
    <t>diameter:</t>
    <phoneticPr fontId="14" type="noConversion"/>
  </si>
  <si>
    <t>120mm</t>
    <phoneticPr fontId="14" type="noConversion"/>
  </si>
  <si>
    <t>1st cone:</t>
    <phoneticPr fontId="14" type="noConversion"/>
  </si>
  <si>
    <t>OR DIFFUSED</t>
    <phoneticPr fontId="14" type="noConversion"/>
  </si>
  <si>
    <t>of baffle wave</t>
    <phoneticPr fontId="14" type="noConversion"/>
  </si>
  <si>
    <t>degrees ATDC</t>
    <phoneticPr fontId="14" type="noConversion"/>
  </si>
  <si>
    <t>of 3rd wave</t>
    <phoneticPr fontId="14" type="noConversion"/>
  </si>
  <si>
    <t>degrees ATDC</t>
    <phoneticPr fontId="14" type="noConversion"/>
  </si>
  <si>
    <t>of end of</t>
    <phoneticPr fontId="14" type="noConversion"/>
  </si>
  <si>
    <t>3rd wave</t>
    <phoneticPr fontId="14" type="noConversion"/>
  </si>
  <si>
    <t>baffle waves</t>
    <phoneticPr fontId="14" type="noConversion"/>
  </si>
  <si>
    <t>10mm</t>
    <phoneticPr fontId="14" type="noConversion"/>
  </si>
  <si>
    <t>Wave Grapher</t>
    <phoneticPr fontId="14" type="noConversion"/>
  </si>
  <si>
    <t>Final Diameter</t>
    <phoneticPr fontId="14" type="noConversion"/>
  </si>
  <si>
    <t>300mm</t>
    <phoneticPr fontId="14" type="noConversion"/>
  </si>
  <si>
    <t>310mm</t>
    <phoneticPr fontId="14" type="noConversion"/>
  </si>
  <si>
    <t>diffuser return</t>
    <phoneticPr fontId="14" type="noConversion"/>
  </si>
  <si>
    <t>min stinger</t>
    <phoneticPr fontId="14" type="noConversion"/>
  </si>
  <si>
    <t>transfer port</t>
    <phoneticPr fontId="14" type="noConversion"/>
  </si>
  <si>
    <t>exhaust pulse</t>
    <phoneticPr fontId="14" type="noConversion"/>
  </si>
  <si>
    <t>header mm:</t>
    <phoneticPr fontId="14" type="noConversion"/>
  </si>
  <si>
    <t>40mm</t>
    <phoneticPr fontId="14" type="noConversion"/>
  </si>
  <si>
    <t>inches</t>
    <phoneticPr fontId="14" type="noConversion"/>
  </si>
  <si>
    <t>meters</t>
    <phoneticPr fontId="14" type="noConversion"/>
  </si>
  <si>
    <t>RPM range</t>
    <phoneticPr fontId="14" type="noConversion"/>
  </si>
  <si>
    <t>from center</t>
    <phoneticPr fontId="14" type="noConversion"/>
  </si>
  <si>
    <t>stinger</t>
    <phoneticPr fontId="14" type="noConversion"/>
  </si>
  <si>
    <t>temperature</t>
    <phoneticPr fontId="14" type="noConversion"/>
  </si>
  <si>
    <t>header MPS</t>
    <phoneticPr fontId="14" type="noConversion"/>
  </si>
  <si>
    <t>MPS sound</t>
    <phoneticPr fontId="14" type="noConversion"/>
  </si>
  <si>
    <t xml:space="preserve">SINGLE </t>
    <phoneticPr fontId="14" type="noConversion"/>
  </si>
  <si>
    <t>baffle MPS</t>
    <phoneticPr fontId="14" type="noConversion"/>
  </si>
  <si>
    <t>beg. Diff. MPS</t>
    <phoneticPr fontId="14" type="noConversion"/>
  </si>
  <si>
    <t>BAFFLE</t>
    <phoneticPr fontId="14" type="noConversion"/>
  </si>
  <si>
    <t>2nd cone:</t>
    <phoneticPr fontId="14" type="noConversion"/>
  </si>
  <si>
    <t>beginning dia:</t>
    <phoneticPr fontId="14" type="noConversion"/>
  </si>
  <si>
    <t>60mm</t>
    <phoneticPr fontId="14" type="noConversion"/>
  </si>
  <si>
    <t>70mm</t>
    <phoneticPr fontId="14" type="noConversion"/>
  </si>
  <si>
    <t>a + b</t>
    <phoneticPr fontId="14" type="noConversion"/>
  </si>
  <si>
    <t>each 10mm</t>
  </si>
  <si>
    <t>mid-header C</t>
    <phoneticPr fontId="14" type="noConversion"/>
  </si>
  <si>
    <t>average</t>
    <phoneticPr fontId="14" type="noConversion"/>
  </si>
  <si>
    <t>diffuser cone</t>
    <phoneticPr fontId="14" type="noConversion"/>
  </si>
  <si>
    <t>diameter:</t>
  </si>
  <si>
    <t>cone angle</t>
    <phoneticPr fontId="14" type="noConversion"/>
  </si>
  <si>
    <t>b</t>
    <phoneticPr fontId="14" type="noConversion"/>
  </si>
  <si>
    <t>transfer close</t>
    <phoneticPr fontId="14" type="noConversion"/>
  </si>
  <si>
    <t>length by</t>
    <phoneticPr fontId="14" type="noConversion"/>
  </si>
  <si>
    <t>area:</t>
  </si>
  <si>
    <t>80mm</t>
    <phoneticPr fontId="14" type="noConversion"/>
  </si>
  <si>
    <t>PIPE TIMING</t>
    <phoneticPr fontId="14" type="noConversion"/>
  </si>
  <si>
    <t>100mm</t>
    <phoneticPr fontId="14" type="noConversion"/>
  </si>
  <si>
    <t>diameter:</t>
    <phoneticPr fontId="14" type="noConversion"/>
  </si>
  <si>
    <t>CHANGE</t>
    <phoneticPr fontId="14" type="noConversion"/>
  </si>
  <si>
    <t>belly diameter:</t>
    <phoneticPr fontId="14" type="noConversion"/>
  </si>
  <si>
    <t>220mm</t>
    <phoneticPr fontId="14" type="noConversion"/>
  </si>
  <si>
    <t>Diffuser return</t>
    <phoneticPr fontId="14" type="noConversion"/>
  </si>
  <si>
    <t>% reduction</t>
    <phoneticPr fontId="14" type="noConversion"/>
  </si>
  <si>
    <t>mid-header C temp:</t>
    <phoneticPr fontId="14" type="noConversion"/>
  </si>
  <si>
    <t>bottom dead center</t>
    <phoneticPr fontId="14" type="noConversion"/>
  </si>
  <si>
    <t>for row 19, etc.</t>
    <phoneticPr fontId="14" type="noConversion"/>
  </si>
  <si>
    <t>wave grapher</t>
    <phoneticPr fontId="14" type="noConversion"/>
  </si>
  <si>
    <t>Fill in all light</t>
    <phoneticPr fontId="14" type="noConversion"/>
  </si>
  <si>
    <t>high dia.</t>
    <phoneticPr fontId="14" type="noConversion"/>
  </si>
  <si>
    <t>300mm</t>
    <phoneticPr fontId="14" type="noConversion"/>
  </si>
  <si>
    <t>310mm</t>
    <phoneticPr fontId="14" type="noConversion"/>
  </si>
  <si>
    <t>milliseconds</t>
    <phoneticPr fontId="14" type="noConversion"/>
  </si>
  <si>
    <t>ideal header</t>
    <phoneticPr fontId="14" type="noConversion"/>
  </si>
  <si>
    <t>trans dur</t>
    <phoneticPr fontId="14" type="noConversion"/>
  </si>
  <si>
    <t>ms return time</t>
    <phoneticPr fontId="14" type="noConversion"/>
  </si>
  <si>
    <t>110mm</t>
    <phoneticPr fontId="14" type="noConversion"/>
  </si>
  <si>
    <t>belly mm:</t>
    <phoneticPr fontId="14" type="noConversion"/>
  </si>
  <si>
    <t>18 inch</t>
    <phoneticPr fontId="14" type="noConversion"/>
  </si>
  <si>
    <t>110mm</t>
    <phoneticPr fontId="14" type="noConversion"/>
  </si>
  <si>
    <t>90mm</t>
    <phoneticPr fontId="14" type="noConversion"/>
  </si>
  <si>
    <t>exhaust open</t>
  </si>
  <si>
    <t>transfer open</t>
  </si>
  <si>
    <t>BDC</t>
  </si>
  <si>
    <t>A</t>
    <phoneticPr fontId="14" type="noConversion"/>
  </si>
  <si>
    <t>length</t>
    <phoneticPr fontId="14" type="noConversion"/>
  </si>
  <si>
    <t>blue areas.</t>
    <phoneticPr fontId="14" type="noConversion"/>
  </si>
  <si>
    <t>increase in</t>
  </si>
  <si>
    <t>inches</t>
    <phoneticPr fontId="14" type="noConversion"/>
  </si>
  <si>
    <t xml:space="preserve">    Peak RPM</t>
    <phoneticPr fontId="14" type="noConversion"/>
  </si>
  <si>
    <t>Author:</t>
    <phoneticPr fontId="14" type="noConversion"/>
  </si>
  <si>
    <t>header mm:</t>
  </si>
  <si>
    <t>peak RPM</t>
    <phoneticPr fontId="14" type="noConversion"/>
  </si>
  <si>
    <t>suggested</t>
    <phoneticPr fontId="14" type="noConversion"/>
  </si>
  <si>
    <t>transfer open</t>
    <phoneticPr fontId="14" type="noConversion"/>
  </si>
  <si>
    <t>60mm</t>
    <phoneticPr fontId="14" type="noConversion"/>
  </si>
  <si>
    <t>100mm</t>
    <phoneticPr fontId="14" type="noConversion"/>
  </si>
  <si>
    <t>BDC:</t>
    <phoneticPr fontId="14" type="noConversion"/>
  </si>
  <si>
    <t>diameter</t>
    <phoneticPr fontId="14" type="noConversion"/>
  </si>
  <si>
    <t>BDC to TC is</t>
    <phoneticPr fontId="14" type="noConversion"/>
  </si>
  <si>
    <t>max RPM of pipe</t>
    <phoneticPr fontId="14" type="noConversion"/>
  </si>
  <si>
    <t>diameter 2</t>
    <phoneticPr fontId="14" type="noConversion"/>
  </si>
  <si>
    <t>1st cone dia.</t>
    <phoneticPr fontId="14" type="noConversion"/>
  </si>
  <si>
    <t>320mm</t>
    <phoneticPr fontId="14" type="noConversion"/>
  </si>
  <si>
    <t>330mm</t>
    <phoneticPr fontId="14" type="noConversion"/>
  </si>
  <si>
    <t>340mm</t>
    <phoneticPr fontId="14" type="noConversion"/>
  </si>
  <si>
    <t>350mm</t>
    <phoneticPr fontId="14" type="noConversion"/>
  </si>
  <si>
    <t>360mm</t>
    <phoneticPr fontId="14" type="noConversion"/>
  </si>
  <si>
    <t>TO to BDC</t>
    <phoneticPr fontId="14" type="noConversion"/>
  </si>
  <si>
    <t>temperature</t>
    <phoneticPr fontId="14" type="noConversion"/>
  </si>
  <si>
    <t>FOUR</t>
    <phoneticPr fontId="14" type="noConversion"/>
  </si>
  <si>
    <t>ONE TO</t>
    <phoneticPr fontId="14" type="noConversion"/>
  </si>
  <si>
    <t xml:space="preserve"> stinger</t>
    <phoneticPr fontId="14" type="noConversion"/>
  </si>
  <si>
    <t>transfer ports:</t>
    <phoneticPr fontId="14" type="noConversion"/>
  </si>
  <si>
    <t>2nd cone angle</t>
    <phoneticPr fontId="14" type="noConversion"/>
  </si>
  <si>
    <t>Michael</t>
  </si>
  <si>
    <t>avg Diff MPS:</t>
  </si>
  <si>
    <t>segment:</t>
  </si>
  <si>
    <t>ms per horiz</t>
  </si>
  <si>
    <t>baffle MPS:</t>
  </si>
  <si>
    <t>per segment:</t>
  </si>
  <si>
    <t>ms time</t>
  </si>
  <si>
    <t>baffle total ms:</t>
  </si>
  <si>
    <t>baffle mm:</t>
  </si>
  <si>
    <t>engine specs</t>
  </si>
  <si>
    <t>header</t>
    <phoneticPr fontId="14" type="noConversion"/>
  </si>
  <si>
    <t>150mm</t>
    <phoneticPr fontId="14" type="noConversion"/>
  </si>
  <si>
    <t>KPH</t>
    <phoneticPr fontId="14" type="noConversion"/>
  </si>
  <si>
    <t>baffle wave start</t>
  </si>
  <si>
    <t>Notes:</t>
  </si>
  <si>
    <t>segments after</t>
  </si>
  <si>
    <t>return wave</t>
    <phoneticPr fontId="14" type="noConversion"/>
  </si>
  <si>
    <t>exhaust close</t>
    <phoneticPr fontId="14" type="noConversion"/>
  </si>
  <si>
    <t>MPH</t>
    <phoneticPr fontId="14" type="noConversion"/>
  </si>
  <si>
    <t>of sheet</t>
    <phoneticPr fontId="14" type="noConversion"/>
  </si>
  <si>
    <t>min stinger</t>
    <phoneticPr fontId="14" type="noConversion"/>
  </si>
  <si>
    <t>baffle starts</t>
  </si>
  <si>
    <t>diffuser that</t>
  </si>
  <si>
    <t>neg segments</t>
  </si>
  <si>
    <t>thermocouple</t>
  </si>
  <si>
    <t>distance in mm:</t>
  </si>
  <si>
    <t>diameters</t>
    <phoneticPr fontId="14" type="noConversion"/>
  </si>
  <si>
    <t>from sheet 2</t>
    <phoneticPr fontId="14" type="noConversion"/>
  </si>
  <si>
    <t>add thickness</t>
    <phoneticPr fontId="14" type="noConversion"/>
  </si>
  <si>
    <t>(in meters)</t>
    <phoneticPr fontId="14" type="noConversion"/>
  </si>
  <si>
    <t>milliseconds</t>
  </si>
  <si>
    <t>RETURN WAVE</t>
    <phoneticPr fontId="14" type="noConversion"/>
  </si>
  <si>
    <t>120mm</t>
    <phoneticPr fontId="14" type="noConversion"/>
  </si>
  <si>
    <t>130mm</t>
    <phoneticPr fontId="14" type="noConversion"/>
  </si>
  <si>
    <t>milliseconds</t>
    <phoneticPr fontId="14" type="noConversion"/>
  </si>
  <si>
    <t>piston port</t>
    <phoneticPr fontId="14" type="noConversion"/>
  </si>
  <si>
    <t>reed valve</t>
    <phoneticPr fontId="14" type="noConversion"/>
  </si>
  <si>
    <t>exhaust closes:</t>
    <phoneticPr fontId="14" type="noConversion"/>
  </si>
  <si>
    <t>transfers open:</t>
    <phoneticPr fontId="14" type="noConversion"/>
  </si>
  <si>
    <t>engine cc</t>
    <phoneticPr fontId="14" type="noConversion"/>
  </si>
  <si>
    <t>110mm</t>
    <phoneticPr fontId="14" type="noConversion"/>
  </si>
  <si>
    <t>3rd cone:</t>
    <phoneticPr fontId="14" type="noConversion"/>
  </si>
  <si>
    <t>4th cone:</t>
    <phoneticPr fontId="14" type="noConversion"/>
  </si>
  <si>
    <t>130mm</t>
    <phoneticPr fontId="14" type="noConversion"/>
  </si>
  <si>
    <t>Gear RPM</t>
    <phoneticPr fontId="14" type="noConversion"/>
  </si>
  <si>
    <t>angle</t>
    <phoneticPr fontId="14" type="noConversion"/>
  </si>
  <si>
    <t>40mm</t>
  </si>
  <si>
    <t>estimated</t>
    <phoneticPr fontId="14" type="noConversion"/>
  </si>
  <si>
    <t>header MPS</t>
    <phoneticPr fontId="14" type="noConversion"/>
  </si>
  <si>
    <t>calculations</t>
    <phoneticPr fontId="14" type="noConversion"/>
  </si>
  <si>
    <t>millimeters</t>
    <phoneticPr fontId="14" type="noConversion"/>
  </si>
  <si>
    <t>20mm</t>
    <phoneticPr fontId="14" type="noConversion"/>
  </si>
  <si>
    <t>140mm</t>
    <phoneticPr fontId="14" type="noConversion"/>
  </si>
  <si>
    <t>120mm</t>
    <phoneticPr fontId="14" type="noConversion"/>
  </si>
  <si>
    <t>crossover ms</t>
  </si>
  <si>
    <t>of diffuser and</t>
  </si>
  <si>
    <t>Forrest</t>
  </si>
  <si>
    <t>170mm</t>
    <phoneticPr fontId="14" type="noConversion"/>
  </si>
  <si>
    <t>180mm</t>
    <phoneticPr fontId="14" type="noConversion"/>
  </si>
  <si>
    <t>190mm</t>
    <phoneticPr fontId="14" type="noConversion"/>
  </si>
  <si>
    <t>140mm</t>
    <phoneticPr fontId="14" type="noConversion"/>
  </si>
  <si>
    <t>beginning dia.</t>
    <phoneticPr fontId="14" type="noConversion"/>
  </si>
  <si>
    <t>diffuser wave start</t>
  </si>
  <si>
    <t>Return Wave</t>
    <phoneticPr fontId="14" type="noConversion"/>
  </si>
  <si>
    <t>140mm</t>
    <phoneticPr fontId="14" type="noConversion"/>
  </si>
  <si>
    <t>max stinger</t>
    <phoneticPr fontId="14" type="noConversion"/>
  </si>
  <si>
    <t>1st cone:</t>
    <phoneticPr fontId="14" type="noConversion"/>
  </si>
  <si>
    <t>110mm</t>
    <phoneticPr fontId="14" type="noConversion"/>
  </si>
  <si>
    <t>min stinger</t>
    <phoneticPr fontId="14" type="noConversion"/>
  </si>
  <si>
    <t>max stinger</t>
    <phoneticPr fontId="14" type="noConversion"/>
  </si>
  <si>
    <t>diameter</t>
    <phoneticPr fontId="14" type="noConversion"/>
  </si>
  <si>
    <t>transfer close</t>
  </si>
  <si>
    <t>diffuser MPS</t>
    <phoneticPr fontId="14" type="noConversion"/>
  </si>
  <si>
    <t>length in mm</t>
    <phoneticPr fontId="14" type="noConversion"/>
  </si>
  <si>
    <t>150mm</t>
    <phoneticPr fontId="14" type="noConversion"/>
  </si>
  <si>
    <t xml:space="preserve">SINGLE  </t>
    <phoneticPr fontId="14" type="noConversion"/>
  </si>
  <si>
    <t>200mm</t>
    <phoneticPr fontId="14" type="noConversion"/>
  </si>
  <si>
    <t>BAFFLE</t>
    <phoneticPr fontId="14" type="noConversion"/>
  </si>
  <si>
    <t>diff wave end</t>
    <phoneticPr fontId="14" type="noConversion"/>
  </si>
  <si>
    <t>DIFFUSER</t>
    <phoneticPr fontId="14" type="noConversion"/>
  </si>
  <si>
    <t>to thermocouple</t>
  </si>
  <si>
    <t>mid hdr temp</t>
  </si>
  <si>
    <t>piston</t>
  </si>
  <si>
    <t>diff wave start</t>
  </si>
  <si>
    <t>40mm</t>
    <phoneticPr fontId="14" type="noConversion"/>
  </si>
  <si>
    <t>Intake:</t>
    <phoneticPr fontId="14" type="noConversion"/>
  </si>
  <si>
    <t>diffuser mm:</t>
  </si>
  <si>
    <t>belly mm:</t>
  </si>
  <si>
    <t>exhaust dur:</t>
  </si>
  <si>
    <t>transfer dur:</t>
  </si>
  <si>
    <t>Baffle Return</t>
    <phoneticPr fontId="14" type="noConversion"/>
  </si>
  <si>
    <t>belly dia.</t>
    <phoneticPr fontId="14" type="noConversion"/>
  </si>
  <si>
    <t xml:space="preserve"> </t>
  </si>
  <si>
    <t>0mm</t>
  </si>
  <si>
    <t>CALCULATOR</t>
    <phoneticPr fontId="14" type="noConversion"/>
  </si>
  <si>
    <t>length</t>
    <phoneticPr fontId="14" type="noConversion"/>
  </si>
  <si>
    <t>small pipe</t>
    <phoneticPr fontId="14" type="noConversion"/>
  </si>
  <si>
    <t>170mm</t>
    <phoneticPr fontId="14" type="noConversion"/>
  </si>
  <si>
    <t>260mm</t>
    <phoneticPr fontId="14" type="noConversion"/>
  </si>
  <si>
    <t>270mm</t>
    <phoneticPr fontId="14" type="noConversion"/>
  </si>
  <si>
    <t>280mm</t>
    <phoneticPr fontId="14" type="noConversion"/>
  </si>
  <si>
    <t>290mm</t>
    <phoneticPr fontId="14" type="noConversion"/>
  </si>
  <si>
    <t>toal pipe length</t>
    <phoneticPr fontId="14" type="noConversion"/>
  </si>
  <si>
    <t>exhaust pulse</t>
    <phoneticPr fontId="14" type="noConversion"/>
  </si>
  <si>
    <t>chord of</t>
    <phoneticPr fontId="14" type="noConversion"/>
  </si>
  <si>
    <t>DIFFUSER &amp;</t>
    <phoneticPr fontId="14" type="noConversion"/>
  </si>
  <si>
    <t>.com/motorbike</t>
    <phoneticPr fontId="14" type="noConversion"/>
  </si>
  <si>
    <t>www.dragonfly75</t>
  </si>
  <si>
    <t>AREA</t>
    <phoneticPr fontId="14" type="noConversion"/>
  </si>
  <si>
    <t>PIPE</t>
    <phoneticPr fontId="14" type="noConversion"/>
  </si>
  <si>
    <t>row 6 is used</t>
    <phoneticPr fontId="14" type="noConversion"/>
  </si>
  <si>
    <t>TC to EC</t>
    <phoneticPr fontId="14" type="noConversion"/>
  </si>
  <si>
    <t>midway from</t>
    <phoneticPr fontId="14" type="noConversion"/>
  </si>
  <si>
    <t>Calculator</t>
    <phoneticPr fontId="14" type="noConversion"/>
  </si>
  <si>
    <t>Pipe Power</t>
    <phoneticPr fontId="14" type="noConversion"/>
  </si>
  <si>
    <t xml:space="preserve">4th cone </t>
    <phoneticPr fontId="14" type="noConversion"/>
  </si>
  <si>
    <t>beginning dia:</t>
    <phoneticPr fontId="14" type="noConversion"/>
  </si>
  <si>
    <t>time scale:</t>
  </si>
  <si>
    <t>multiply horiz</t>
  </si>
  <si>
    <t>after exhaust</t>
    <phoneticPr fontId="14" type="noConversion"/>
  </si>
  <si>
    <t>(after exhaust</t>
    <phoneticPr fontId="14" type="noConversion"/>
  </si>
  <si>
    <t>carb size</t>
    <phoneticPr fontId="14" type="noConversion"/>
  </si>
  <si>
    <t>dia. Reduction</t>
    <phoneticPr fontId="14" type="noConversion"/>
  </si>
  <si>
    <t>exhaust port</t>
    <phoneticPr fontId="14" type="noConversion"/>
  </si>
  <si>
    <t>% change</t>
    <phoneticPr fontId="14" type="noConversion"/>
  </si>
  <si>
    <t>area:</t>
    <phoneticPr fontId="14" type="noConversion"/>
  </si>
  <si>
    <t>Enter lengths</t>
    <phoneticPr fontId="14" type="noConversion"/>
  </si>
  <si>
    <t>280mm</t>
    <phoneticPr fontId="14" type="noConversion"/>
  </si>
  <si>
    <t>290mm</t>
    <phoneticPr fontId="14" type="noConversion"/>
  </si>
  <si>
    <t>transfer duration:</t>
    <phoneticPr fontId="14" type="noConversion"/>
  </si>
  <si>
    <t>RPM:</t>
    <phoneticPr fontId="14" type="noConversion"/>
  </si>
  <si>
    <t>of baffle wave</t>
    <phoneticPr fontId="14" type="noConversion"/>
  </si>
  <si>
    <t>baffle wave end</t>
    <phoneticPr fontId="14" type="noConversion"/>
  </si>
  <si>
    <t>length in mm</t>
    <phoneticPr fontId="14" type="noConversion"/>
  </si>
  <si>
    <t>equivalent mm</t>
    <phoneticPr fontId="14" type="noConversion"/>
  </si>
  <si>
    <t>off center angle</t>
    <phoneticPr fontId="14" type="noConversion"/>
  </si>
  <si>
    <t>TC to EC is</t>
    <phoneticPr fontId="14" type="noConversion"/>
  </si>
  <si>
    <t>horizontal</t>
    <phoneticPr fontId="14" type="noConversion"/>
  </si>
  <si>
    <t>segments</t>
    <phoneticPr fontId="14" type="noConversion"/>
  </si>
  <si>
    <t>BDC</t>
    <phoneticPr fontId="14" type="noConversion"/>
  </si>
  <si>
    <t>TC</t>
    <phoneticPr fontId="14" type="noConversion"/>
  </si>
  <si>
    <t>210mm</t>
    <phoneticPr fontId="14" type="noConversion"/>
  </si>
  <si>
    <t>320mm</t>
    <phoneticPr fontId="14" type="noConversion"/>
  </si>
  <si>
    <t>330mm</t>
    <phoneticPr fontId="14" type="noConversion"/>
  </si>
  <si>
    <t>130mm</t>
    <phoneticPr fontId="14" type="noConversion"/>
  </si>
  <si>
    <t>transfer close</t>
    <phoneticPr fontId="14" type="noConversion"/>
  </si>
  <si>
    <t>mm Length</t>
    <phoneticPr fontId="14" type="noConversion"/>
  </si>
  <si>
    <t>Amplitude</t>
    <phoneticPr fontId="14" type="noConversion"/>
  </si>
  <si>
    <t>30mm</t>
    <phoneticPr fontId="14" type="noConversion"/>
  </si>
  <si>
    <t>transfers close:</t>
    <phoneticPr fontId="14" type="noConversion"/>
  </si>
  <si>
    <t>50mm</t>
    <phoneticPr fontId="14" type="noConversion"/>
  </si>
  <si>
    <t>2nd cone angle:</t>
    <phoneticPr fontId="14" type="noConversion"/>
  </si>
  <si>
    <t>3rd cone</t>
    <phoneticPr fontId="14" type="noConversion"/>
  </si>
  <si>
    <t>a</t>
    <phoneticPr fontId="14" type="noConversion"/>
  </si>
  <si>
    <t>180mm</t>
    <phoneticPr fontId="14" type="noConversion"/>
  </si>
  <si>
    <t>190mm</t>
    <phoneticPr fontId="14" type="noConversion"/>
  </si>
  <si>
    <t>200mm</t>
    <phoneticPr fontId="14" type="noConversion"/>
  </si>
  <si>
    <t>210mm</t>
    <phoneticPr fontId="14" type="noConversion"/>
  </si>
  <si>
    <t>4th cone angle:</t>
    <phoneticPr fontId="14" type="noConversion"/>
  </si>
  <si>
    <t>° duration of</t>
    <phoneticPr fontId="14" type="noConversion"/>
  </si>
  <si>
    <t>milliseconds</t>
    <phoneticPr fontId="14" type="noConversion"/>
  </si>
  <si>
    <t>1st cone angle</t>
    <phoneticPr fontId="14" type="noConversion"/>
  </si>
  <si>
    <t>in Celsius</t>
    <phoneticPr fontId="14" type="noConversion"/>
  </si>
  <si>
    <t>values of</t>
    <phoneticPr fontId="14" type="noConversion"/>
  </si>
  <si>
    <t>baffle wave</t>
    <phoneticPr fontId="14" type="noConversion"/>
  </si>
  <si>
    <t>wave at TC</t>
  </si>
  <si>
    <t>wave at EC</t>
  </si>
  <si>
    <t>start to BDC</t>
  </si>
  <si>
    <t>BDC to TC wave</t>
  </si>
  <si>
    <t>updated  October</t>
  </si>
  <si>
    <t>Instructions:</t>
  </si>
  <si>
    <t>.com/motorbike/</t>
  </si>
  <si>
    <t>ECcalc/ECCinstr</t>
  </si>
  <si>
    <t>.html</t>
  </si>
  <si>
    <t>Exhaust port boost</t>
  </si>
  <si>
    <t>Transfer port boost</t>
  </si>
  <si>
    <t>Torque</t>
  </si>
  <si>
    <t>Horsepower</t>
  </si>
  <si>
    <t>10k pipe</t>
  </si>
  <si>
    <t>diff 4/7.8/13.2°</t>
  </si>
  <si>
    <t>baffle 10°</t>
  </si>
  <si>
    <t>17,  2015</t>
  </si>
  <si>
    <t>Reed Valve</t>
  </si>
  <si>
    <t>Engine Power</t>
  </si>
  <si>
    <t>non-reed</t>
  </si>
  <si>
    <t>engine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</si>
</sst>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&quot;$&quot;* #,##0.00_);_(&quot;$&quot;* \(#,##0.00\);_(&quot;$&quot;* &quot;-&quot;??_);_(@_)"/>
    <numFmt numFmtId="165" formatCode="0.0"/>
    <numFmt numFmtId="166" formatCode="0.000"/>
    <numFmt numFmtId="167" formatCode="0.0000"/>
    <numFmt numFmtId="168" formatCode="0.0000000"/>
    <numFmt numFmtId="169" formatCode="0.000000"/>
    <numFmt numFmtId="170" formatCode="0.00000"/>
  </numFmts>
  <fonts count="35" x14ac:knownFonts="1">
    <font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10"/>
      <name val="Verdana"/>
    </font>
    <font>
      <b/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sz val="11"/>
      <color indexed="8"/>
      <name val="Calibri"/>
      <family val="2"/>
    </font>
    <font>
      <sz val="11"/>
      <name val="Calibri"/>
      <family val="2"/>
    </font>
    <font>
      <u/>
      <sz val="11"/>
      <color indexed="12"/>
      <name val="Calibri"/>
      <family val="2"/>
    </font>
    <font>
      <sz val="9"/>
      <name val="Verdana"/>
      <family val="2"/>
    </font>
    <font>
      <b/>
      <sz val="10"/>
      <color indexed="10"/>
      <name val="Verdana"/>
      <family val="2"/>
    </font>
    <font>
      <sz val="10"/>
      <color indexed="8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sz val="8"/>
      <name val="Verdana"/>
    </font>
    <font>
      <sz val="10"/>
      <name val="Verdana"/>
    </font>
    <font>
      <b/>
      <sz val="9"/>
      <name val="Verdana"/>
      <family val="2"/>
    </font>
    <font>
      <sz val="10"/>
      <name val="Verdana"/>
    </font>
    <font>
      <b/>
      <sz val="8"/>
      <name val="Verdana"/>
      <family val="2"/>
    </font>
    <font>
      <sz val="8"/>
      <name val="Verdana"/>
    </font>
    <font>
      <b/>
      <sz val="12"/>
      <name val="Verdana"/>
      <family val="2"/>
    </font>
    <font>
      <sz val="12"/>
      <name val="Verdana"/>
      <family val="2"/>
    </font>
    <font>
      <u/>
      <sz val="12"/>
      <color indexed="12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thin">
        <color auto="1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 style="thin">
        <color theme="3" tint="0.79998168889431442"/>
      </right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/>
      <top/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/>
      <diagonal/>
    </border>
    <border>
      <left/>
      <right/>
      <top style="thin">
        <color auto="1"/>
      </top>
      <bottom style="thin">
        <color theme="3" tint="0.79998168889431442"/>
      </bottom>
      <diagonal/>
    </border>
    <border>
      <left/>
      <right style="thin">
        <color theme="3" tint="0.79998168889431442"/>
      </right>
      <top style="thin">
        <color auto="1"/>
      </top>
      <bottom/>
      <diagonal/>
    </border>
    <border>
      <left/>
      <right style="thin">
        <color theme="3" tint="0.79998168889431442"/>
      </right>
      <top/>
      <bottom style="thin">
        <color auto="1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auto="1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/>
      <right style="thin">
        <color auto="1"/>
      </right>
      <top/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auto="1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 style="thin">
        <color theme="3" tint="0.79998168889431442"/>
      </bottom>
      <diagonal/>
    </border>
    <border>
      <left/>
      <right style="thin">
        <color auto="1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3" tint="0.79998168889431442"/>
      </left>
      <right style="thin">
        <color theme="3" tint="0.7999816888943144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</cellStyleXfs>
  <cellXfs count="643">
    <xf numFmtId="0" fontId="0" fillId="0" borderId="0" xfId="0"/>
    <xf numFmtId="0" fontId="0" fillId="4" borderId="0" xfId="0" applyFill="1"/>
    <xf numFmtId="0" fontId="0" fillId="7" borderId="7" xfId="0" applyFill="1" applyBorder="1" applyAlignment="1">
      <alignment horizontal="left"/>
    </xf>
    <xf numFmtId="0" fontId="0" fillId="0" borderId="0" xfId="0" applyBorder="1"/>
    <xf numFmtId="0" fontId="0" fillId="4" borderId="0" xfId="0" applyFill="1" applyBorder="1"/>
    <xf numFmtId="0" fontId="0" fillId="12" borderId="7" xfId="0" applyFill="1" applyBorder="1"/>
    <xf numFmtId="0" fontId="0" fillId="9" borderId="7" xfId="0" applyFill="1" applyBorder="1" applyAlignment="1">
      <alignment horizontal="right"/>
    </xf>
    <xf numFmtId="0" fontId="0" fillId="3" borderId="11" xfId="0" applyFill="1" applyBorder="1"/>
    <xf numFmtId="0" fontId="0" fillId="3" borderId="7" xfId="0" applyFill="1" applyBorder="1"/>
    <xf numFmtId="0" fontId="0" fillId="8" borderId="7" xfId="0" applyFill="1" applyBorder="1" applyAlignment="1">
      <alignment horizontal="right"/>
    </xf>
    <xf numFmtId="165" fontId="0" fillId="0" borderId="7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7" xfId="0" applyNumberFormat="1" applyBorder="1"/>
    <xf numFmtId="0" fontId="0" fillId="8" borderId="7" xfId="0" applyFill="1" applyBorder="1"/>
    <xf numFmtId="165" fontId="0" fillId="0" borderId="0" xfId="0" applyNumberFormat="1"/>
    <xf numFmtId="165" fontId="0" fillId="0" borderId="0" xfId="0" applyNumberFormat="1" applyBorder="1"/>
    <xf numFmtId="0" fontId="0" fillId="2" borderId="7" xfId="0" applyFill="1" applyBorder="1"/>
    <xf numFmtId="0" fontId="0" fillId="13" borderId="11" xfId="0" applyFill="1" applyBorder="1"/>
    <xf numFmtId="0" fontId="0" fillId="8" borderId="18" xfId="0" applyFill="1" applyBorder="1" applyAlignment="1">
      <alignment horizontal="right"/>
    </xf>
    <xf numFmtId="1" fontId="0" fillId="4" borderId="7" xfId="0" applyNumberFormat="1" applyFill="1" applyBorder="1"/>
    <xf numFmtId="0" fontId="0" fillId="4" borderId="0" xfId="0" applyFill="1" applyBorder="1" applyAlignment="1">
      <alignment horizontal="left"/>
    </xf>
    <xf numFmtId="0" fontId="0" fillId="16" borderId="9" xfId="0" applyFill="1" applyBorder="1"/>
    <xf numFmtId="0" fontId="0" fillId="16" borderId="11" xfId="0" applyFill="1" applyBorder="1"/>
    <xf numFmtId="1" fontId="0" fillId="4" borderId="0" xfId="0" applyNumberFormat="1" applyFill="1" applyBorder="1"/>
    <xf numFmtId="0" fontId="0" fillId="3" borderId="9" xfId="0" applyFill="1" applyBorder="1"/>
    <xf numFmtId="0" fontId="0" fillId="3" borderId="10" xfId="0" applyFill="1" applyBorder="1"/>
    <xf numFmtId="0" fontId="0" fillId="0" borderId="7" xfId="0" applyBorder="1" applyAlignment="1">
      <alignment horizontal="center"/>
    </xf>
    <xf numFmtId="0" fontId="0" fillId="2" borderId="9" xfId="0" applyFill="1" applyBorder="1"/>
    <xf numFmtId="0" fontId="15" fillId="2" borderId="7" xfId="0" applyFont="1" applyFill="1" applyBorder="1"/>
    <xf numFmtId="0" fontId="0" fillId="12" borderId="8" xfId="0" applyFill="1" applyBorder="1"/>
    <xf numFmtId="0" fontId="0" fillId="2" borderId="11" xfId="0" applyFill="1" applyBorder="1"/>
    <xf numFmtId="0" fontId="0" fillId="7" borderId="7" xfId="0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" fontId="0" fillId="0" borderId="7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6" fontId="0" fillId="0" borderId="0" xfId="0" applyNumberFormat="1" applyBorder="1" applyAlignment="1">
      <alignment horizontal="left"/>
    </xf>
    <xf numFmtId="0" fontId="0" fillId="3" borderId="7" xfId="0" applyFill="1" applyBorder="1" applyAlignment="1">
      <alignment horizontal="right"/>
    </xf>
    <xf numFmtId="0" fontId="0" fillId="2" borderId="1" xfId="0" applyFill="1" applyBorder="1"/>
    <xf numFmtId="0" fontId="0" fillId="3" borderId="1" xfId="0" applyFill="1" applyBorder="1"/>
    <xf numFmtId="0" fontId="0" fillId="2" borderId="2" xfId="0" applyFill="1" applyBorder="1"/>
    <xf numFmtId="0" fontId="0" fillId="5" borderId="1" xfId="0" applyFill="1" applyBorder="1"/>
    <xf numFmtId="0" fontId="0" fillId="6" borderId="1" xfId="0" applyFill="1" applyBorder="1"/>
    <xf numFmtId="0" fontId="0" fillId="2" borderId="4" xfId="0" applyFill="1" applyBorder="1"/>
    <xf numFmtId="0" fontId="0" fillId="3" borderId="3" xfId="0" applyFill="1" applyBorder="1"/>
    <xf numFmtId="0" fontId="0" fillId="5" borderId="3" xfId="0" applyFill="1" applyBorder="1"/>
    <xf numFmtId="0" fontId="0" fillId="6" borderId="3" xfId="0" applyFill="1" applyBorder="1"/>
    <xf numFmtId="0" fontId="0" fillId="2" borderId="5" xfId="0" applyFill="1" applyBorder="1"/>
    <xf numFmtId="0" fontId="0" fillId="6" borderId="4" xfId="0" applyFill="1" applyBorder="1"/>
    <xf numFmtId="0" fontId="0" fillId="2" borderId="3" xfId="0" applyFill="1" applyBorder="1"/>
    <xf numFmtId="0" fontId="0" fillId="2" borderId="6" xfId="0" applyFill="1" applyBorder="1"/>
    <xf numFmtId="0" fontId="0" fillId="7" borderId="7" xfId="0" applyFill="1" applyBorder="1"/>
    <xf numFmtId="2" fontId="0" fillId="0" borderId="7" xfId="0" applyNumberFormat="1" applyBorder="1"/>
    <xf numFmtId="0" fontId="0" fillId="0" borderId="7" xfId="0" applyBorder="1"/>
    <xf numFmtId="2" fontId="0" fillId="0" borderId="7" xfId="0" applyNumberFormat="1" applyFill="1" applyBorder="1"/>
    <xf numFmtId="0" fontId="0" fillId="0" borderId="0" xfId="0" applyFill="1" applyBorder="1"/>
    <xf numFmtId="2" fontId="0" fillId="0" borderId="0" xfId="0" applyNumberFormat="1" applyFill="1" applyBorder="1"/>
    <xf numFmtId="2" fontId="0" fillId="0" borderId="0" xfId="0" applyNumberFormat="1" applyBorder="1"/>
    <xf numFmtId="165" fontId="0" fillId="0" borderId="0" xfId="0" applyNumberFormat="1" applyFill="1" applyBorder="1"/>
    <xf numFmtId="0" fontId="0" fillId="6" borderId="2" xfId="0" applyFill="1" applyBorder="1"/>
    <xf numFmtId="0" fontId="13" fillId="5" borderId="3" xfId="0" applyFont="1" applyFill="1" applyBorder="1"/>
    <xf numFmtId="0" fontId="0" fillId="8" borderId="3" xfId="0" applyFill="1" applyBorder="1"/>
    <xf numFmtId="1" fontId="0" fillId="7" borderId="7" xfId="0" applyNumberFormat="1" applyFill="1" applyBorder="1"/>
    <xf numFmtId="0" fontId="13" fillId="0" borderId="0" xfId="0" applyFont="1" applyBorder="1"/>
    <xf numFmtId="0" fontId="0" fillId="0" borderId="0" xfId="0" applyFont="1" applyFill="1" applyBorder="1"/>
    <xf numFmtId="0" fontId="13" fillId="4" borderId="0" xfId="0" applyFont="1" applyFill="1" applyBorder="1"/>
    <xf numFmtId="0" fontId="13" fillId="0" borderId="0" xfId="0" applyFont="1"/>
    <xf numFmtId="1" fontId="13" fillId="0" borderId="0" xfId="0" applyNumberFormat="1" applyFont="1" applyBorder="1"/>
    <xf numFmtId="0" fontId="13" fillId="3" borderId="1" xfId="0" applyFont="1" applyFill="1" applyBorder="1"/>
    <xf numFmtId="0" fontId="0" fillId="3" borderId="13" xfId="0" applyFill="1" applyBorder="1"/>
    <xf numFmtId="0" fontId="0" fillId="5" borderId="15" xfId="0" applyFill="1" applyBorder="1"/>
    <xf numFmtId="0" fontId="0" fillId="3" borderId="15" xfId="0" applyFill="1" applyBorder="1"/>
    <xf numFmtId="165" fontId="0" fillId="0" borderId="10" xfId="0" applyNumberFormat="1" applyBorder="1"/>
    <xf numFmtId="1" fontId="0" fillId="0" borderId="11" xfId="0" applyNumberFormat="1" applyBorder="1"/>
    <xf numFmtId="0" fontId="0" fillId="2" borderId="20" xfId="0" applyFill="1" applyBorder="1"/>
    <xf numFmtId="0" fontId="0" fillId="2" borderId="22" xfId="0" applyFill="1" applyBorder="1"/>
    <xf numFmtId="0" fontId="0" fillId="7" borderId="8" xfId="0" applyFill="1" applyBorder="1"/>
    <xf numFmtId="2" fontId="0" fillId="0" borderId="0" xfId="0" applyNumberFormat="1"/>
    <xf numFmtId="165" fontId="0" fillId="7" borderId="8" xfId="0" applyNumberFormat="1" applyFill="1" applyBorder="1"/>
    <xf numFmtId="0" fontId="0" fillId="17" borderId="8" xfId="0" applyFill="1" applyBorder="1" applyAlignment="1">
      <alignment horizontal="right"/>
    </xf>
    <xf numFmtId="0" fontId="0" fillId="17" borderId="18" xfId="0" applyFill="1" applyBorder="1"/>
    <xf numFmtId="0" fontId="0" fillId="4" borderId="7" xfId="0" applyFill="1" applyBorder="1"/>
    <xf numFmtId="0" fontId="0" fillId="2" borderId="24" xfId="0" applyFill="1" applyBorder="1"/>
    <xf numFmtId="0" fontId="12" fillId="11" borderId="12" xfId="0" applyFont="1" applyFill="1" applyBorder="1"/>
    <xf numFmtId="0" fontId="12" fillId="11" borderId="23" xfId="0" applyFont="1" applyFill="1" applyBorder="1"/>
    <xf numFmtId="0" fontId="0" fillId="12" borderId="9" xfId="0" applyFill="1" applyBorder="1"/>
    <xf numFmtId="0" fontId="0" fillId="12" borderId="11" xfId="0" applyFill="1" applyBorder="1"/>
    <xf numFmtId="0" fontId="0" fillId="4" borderId="11" xfId="0" applyFill="1" applyBorder="1"/>
    <xf numFmtId="0" fontId="0" fillId="2" borderId="7" xfId="0" applyFill="1" applyBorder="1" applyAlignment="1">
      <alignment horizontal="center"/>
    </xf>
    <xf numFmtId="0" fontId="0" fillId="2" borderId="19" xfId="0" applyFill="1" applyBorder="1"/>
    <xf numFmtId="0" fontId="0" fillId="3" borderId="21" xfId="0" applyFill="1" applyBorder="1" applyAlignment="1">
      <alignment horizontal="right"/>
    </xf>
    <xf numFmtId="165" fontId="0" fillId="3" borderId="24" xfId="0" applyNumberFormat="1" applyFill="1" applyBorder="1" applyAlignment="1">
      <alignment horizontal="left"/>
    </xf>
    <xf numFmtId="0" fontId="0" fillId="4" borderId="0" xfId="0" applyFill="1" applyBorder="1" applyAlignment="1">
      <alignment horizontal="right"/>
    </xf>
    <xf numFmtId="1" fontId="0" fillId="0" borderId="10" xfId="0" applyNumberFormat="1" applyBorder="1"/>
    <xf numFmtId="168" fontId="0" fillId="0" borderId="0" xfId="0" applyNumberFormat="1"/>
    <xf numFmtId="166" fontId="0" fillId="0" borderId="0" xfId="0" applyNumberFormat="1"/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1" xfId="0" applyFill="1" applyBorder="1" applyAlignment="1">
      <alignment horizontal="right"/>
    </xf>
    <xf numFmtId="2" fontId="0" fillId="2" borderId="11" xfId="0" applyNumberFormat="1" applyFill="1" applyBorder="1" applyAlignment="1">
      <alignment horizontal="right"/>
    </xf>
    <xf numFmtId="0" fontId="11" fillId="11" borderId="8" xfId="0" applyFont="1" applyFill="1" applyBorder="1"/>
    <xf numFmtId="0" fontId="11" fillId="11" borderId="18" xfId="0" applyFont="1" applyFill="1" applyBorder="1"/>
    <xf numFmtId="0" fontId="11" fillId="11" borderId="21" xfId="0" applyFont="1" applyFill="1" applyBorder="1" applyAlignment="1">
      <alignment horizontal="right"/>
    </xf>
    <xf numFmtId="0" fontId="11" fillId="11" borderId="24" xfId="0" applyFont="1" applyFill="1" applyBorder="1"/>
    <xf numFmtId="0" fontId="11" fillId="11" borderId="14" xfId="0" applyFont="1" applyFill="1" applyBorder="1" applyAlignment="1">
      <alignment horizontal="right"/>
    </xf>
    <xf numFmtId="0" fontId="11" fillId="11" borderId="19" xfId="0" applyFont="1" applyFill="1" applyBorder="1"/>
    <xf numFmtId="0" fontId="15" fillId="12" borderId="7" xfId="0" applyFont="1" applyFill="1" applyBorder="1" applyAlignment="1">
      <alignment horizontal="left"/>
    </xf>
    <xf numFmtId="0" fontId="0" fillId="12" borderId="7" xfId="0" applyFill="1" applyBorder="1" applyAlignment="1">
      <alignment horizontal="left"/>
    </xf>
    <xf numFmtId="165" fontId="0" fillId="4" borderId="11" xfId="0" applyNumberFormat="1" applyFill="1" applyBorder="1" applyAlignment="1">
      <alignment horizontal="center"/>
    </xf>
    <xf numFmtId="166" fontId="0" fillId="0" borderId="0" xfId="0" applyNumberFormat="1"/>
    <xf numFmtId="0" fontId="0" fillId="0" borderId="7" xfId="0" applyFill="1" applyBorder="1" applyAlignment="1">
      <alignment horizontal="center"/>
    </xf>
    <xf numFmtId="165" fontId="0" fillId="7" borderId="8" xfId="0" applyNumberFormat="1" applyFill="1" applyBorder="1"/>
    <xf numFmtId="165" fontId="0" fillId="7" borderId="7" xfId="0" applyNumberFormat="1" applyFill="1" applyBorder="1"/>
    <xf numFmtId="165" fontId="0" fillId="0" borderId="0" xfId="0" applyNumberFormat="1" applyBorder="1" applyAlignment="1">
      <alignment horizontal="right"/>
    </xf>
    <xf numFmtId="165" fontId="0" fillId="0" borderId="7" xfId="0" applyNumberFormat="1" applyBorder="1" applyAlignment="1">
      <alignment horizontal="center"/>
    </xf>
    <xf numFmtId="0" fontId="0" fillId="8" borderId="18" xfId="0" applyFill="1" applyBorder="1"/>
    <xf numFmtId="0" fontId="0" fillId="12" borderId="9" xfId="0" applyFill="1" applyBorder="1" applyAlignment="1">
      <alignment horizontal="left"/>
    </xf>
    <xf numFmtId="0" fontId="0" fillId="12" borderId="11" xfId="0" applyFill="1" applyBorder="1" applyAlignment="1">
      <alignment horizontal="left"/>
    </xf>
    <xf numFmtId="1" fontId="0" fillId="4" borderId="0" xfId="0" applyNumberFormat="1" applyFill="1" applyBorder="1" applyAlignment="1">
      <alignment horizontal="left"/>
    </xf>
    <xf numFmtId="0" fontId="0" fillId="7" borderId="11" xfId="0" applyFill="1" applyBorder="1" applyAlignment="1">
      <alignment horizontal="left"/>
    </xf>
    <xf numFmtId="0" fontId="0" fillId="12" borderId="27" xfId="0" applyFill="1" applyBorder="1"/>
    <xf numFmtId="165" fontId="0" fillId="7" borderId="8" xfId="0" applyNumberFormat="1" applyFill="1" applyBorder="1"/>
    <xf numFmtId="166" fontId="0" fillId="0" borderId="0" xfId="0" applyNumberFormat="1"/>
    <xf numFmtId="166" fontId="0" fillId="0" borderId="0" xfId="0" applyNumberFormat="1"/>
    <xf numFmtId="166" fontId="0" fillId="0" borderId="0" xfId="0" applyNumberFormat="1"/>
    <xf numFmtId="0" fontId="13" fillId="6" borderId="1" xfId="0" applyFont="1" applyFill="1" applyBorder="1"/>
    <xf numFmtId="0" fontId="0" fillId="6" borderId="13" xfId="0" applyFill="1" applyBorder="1"/>
    <xf numFmtId="1" fontId="13" fillId="4" borderId="11" xfId="0" applyNumberFormat="1" applyFont="1" applyFill="1" applyBorder="1"/>
    <xf numFmtId="166" fontId="0" fillId="0" borderId="0" xfId="0" applyNumberFormat="1"/>
    <xf numFmtId="2" fontId="0" fillId="0" borderId="7" xfId="0" applyNumberFormat="1" applyBorder="1"/>
    <xf numFmtId="166" fontId="0" fillId="0" borderId="7" xfId="0" applyNumberFormat="1" applyBorder="1"/>
    <xf numFmtId="166" fontId="0" fillId="0" borderId="7" xfId="0" applyNumberFormat="1" applyBorder="1"/>
    <xf numFmtId="166" fontId="0" fillId="0" borderId="7" xfId="0" applyNumberFormat="1" applyFill="1" applyBorder="1"/>
    <xf numFmtId="166" fontId="0" fillId="0" borderId="0" xfId="0" applyNumberFormat="1"/>
    <xf numFmtId="166" fontId="0" fillId="0" borderId="8" xfId="0" applyNumberFormat="1" applyBorder="1"/>
    <xf numFmtId="166" fontId="0" fillId="4" borderId="7" xfId="0" applyNumberFormat="1" applyFill="1" applyBorder="1"/>
    <xf numFmtId="166" fontId="0" fillId="0" borderId="7" xfId="0" applyNumberFormat="1" applyFill="1" applyBorder="1"/>
    <xf numFmtId="2" fontId="0" fillId="0" borderId="0" xfId="0" applyNumberFormat="1" applyBorder="1"/>
    <xf numFmtId="2" fontId="0" fillId="0" borderId="7" xfId="0" applyNumberFormat="1" applyBorder="1"/>
    <xf numFmtId="167" fontId="0" fillId="12" borderId="7" xfId="0" applyNumberFormat="1" applyFill="1" applyBorder="1"/>
    <xf numFmtId="166" fontId="0" fillId="0" borderId="7" xfId="0" applyNumberFormat="1" applyBorder="1" applyAlignment="1">
      <alignment horizontal="right"/>
    </xf>
    <xf numFmtId="166" fontId="0" fillId="0" borderId="7" xfId="0" applyNumberFormat="1" applyBorder="1"/>
    <xf numFmtId="166" fontId="0" fillId="4" borderId="7" xfId="0" applyNumberFormat="1" applyFill="1" applyBorder="1"/>
    <xf numFmtId="166" fontId="0" fillId="0" borderId="11" xfId="0" applyNumberFormat="1" applyBorder="1"/>
    <xf numFmtId="166" fontId="0" fillId="0" borderId="7" xfId="0" applyNumberFormat="1" applyFill="1" applyBorder="1"/>
    <xf numFmtId="166" fontId="0" fillId="0" borderId="7" xfId="0" applyNumberFormat="1" applyBorder="1" applyAlignment="1">
      <alignment horizontal="right"/>
    </xf>
    <xf numFmtId="166" fontId="0" fillId="0" borderId="7" xfId="0" applyNumberFormat="1" applyBorder="1"/>
    <xf numFmtId="166" fontId="0" fillId="0" borderId="8" xfId="0" applyNumberFormat="1" applyBorder="1"/>
    <xf numFmtId="166" fontId="0" fillId="4" borderId="8" xfId="0" applyNumberFormat="1" applyFill="1" applyBorder="1"/>
    <xf numFmtId="166" fontId="0" fillId="0" borderId="9" xfId="0" applyNumberFormat="1" applyBorder="1"/>
    <xf numFmtId="166" fontId="0" fillId="4" borderId="7" xfId="0" applyNumberFormat="1" applyFill="1" applyBorder="1"/>
    <xf numFmtId="166" fontId="0" fillId="0" borderId="0" xfId="0" applyNumberFormat="1"/>
    <xf numFmtId="166" fontId="0" fillId="0" borderId="0" xfId="0" applyNumberFormat="1"/>
    <xf numFmtId="166" fontId="0" fillId="12" borderId="7" xfId="0" applyNumberFormat="1" applyFill="1" applyBorder="1"/>
    <xf numFmtId="165" fontId="0" fillId="7" borderId="7" xfId="0" applyNumberFormat="1" applyFill="1" applyBorder="1"/>
    <xf numFmtId="165" fontId="0" fillId="7" borderId="7" xfId="0" applyNumberFormat="1" applyFill="1" applyBorder="1"/>
    <xf numFmtId="1" fontId="0" fillId="0" borderId="7" xfId="0" applyNumberFormat="1" applyBorder="1"/>
    <xf numFmtId="165" fontId="0" fillId="0" borderId="11" xfId="0" applyNumberFormat="1" applyBorder="1"/>
    <xf numFmtId="0" fontId="15" fillId="4" borderId="0" xfId="0" applyFont="1" applyFill="1" applyBorder="1"/>
    <xf numFmtId="165" fontId="0" fillId="0" borderId="7" xfId="0" applyNumberFormat="1" applyBorder="1"/>
    <xf numFmtId="0" fontId="19" fillId="10" borderId="18" xfId="0" applyFont="1" applyFill="1" applyBorder="1"/>
    <xf numFmtId="0" fontId="19" fillId="10" borderId="8" xfId="0" applyFont="1" applyFill="1" applyBorder="1" applyAlignment="1">
      <alignment horizontal="right"/>
    </xf>
    <xf numFmtId="0" fontId="19" fillId="10" borderId="27" xfId="1" applyFont="1" applyFill="1" applyBorder="1" applyAlignment="1" applyProtection="1">
      <alignment horizontal="center"/>
    </xf>
    <xf numFmtId="0" fontId="0" fillId="6" borderId="7" xfId="0" applyFill="1" applyBorder="1"/>
    <xf numFmtId="0" fontId="0" fillId="3" borderId="8" xfId="0" applyFill="1" applyBorder="1"/>
    <xf numFmtId="0" fontId="0" fillId="6" borderId="18" xfId="0" applyFill="1" applyBorder="1"/>
    <xf numFmtId="0" fontId="19" fillId="10" borderId="9" xfId="0" applyFont="1" applyFill="1" applyBorder="1"/>
    <xf numFmtId="0" fontId="19" fillId="10" borderId="10" xfId="0" applyFont="1" applyFill="1" applyBorder="1"/>
    <xf numFmtId="0" fontId="19" fillId="10" borderId="11" xfId="0" applyFont="1" applyFill="1" applyBorder="1"/>
    <xf numFmtId="0" fontId="20" fillId="4" borderId="0" xfId="0" applyFont="1" applyFill="1" applyBorder="1"/>
    <xf numFmtId="0" fontId="19" fillId="10" borderId="7" xfId="0" applyFont="1" applyFill="1" applyBorder="1"/>
    <xf numFmtId="165" fontId="0" fillId="0" borderId="7" xfId="0" applyNumberFormat="1" applyBorder="1"/>
    <xf numFmtId="165" fontId="20" fillId="4" borderId="7" xfId="0" applyNumberFormat="1" applyFont="1" applyFill="1" applyBorder="1"/>
    <xf numFmtId="165" fontId="0" fillId="0" borderId="7" xfId="0" applyNumberFormat="1" applyBorder="1"/>
    <xf numFmtId="0" fontId="0" fillId="6" borderId="9" xfId="0" applyFill="1" applyBorder="1"/>
    <xf numFmtId="0" fontId="19" fillId="10" borderId="21" xfId="0" applyFont="1" applyFill="1" applyBorder="1"/>
    <xf numFmtId="0" fontId="19" fillId="10" borderId="25" xfId="0" applyFont="1" applyFill="1" applyBorder="1"/>
    <xf numFmtId="0" fontId="0" fillId="6" borderId="11" xfId="0" applyFill="1" applyBorder="1"/>
    <xf numFmtId="165" fontId="0" fillId="0" borderId="7" xfId="0" applyNumberFormat="1" applyBorder="1"/>
    <xf numFmtId="165" fontId="0" fillId="4" borderId="18" xfId="0" applyNumberFormat="1" applyFill="1" applyBorder="1"/>
    <xf numFmtId="1" fontId="0" fillId="7" borderId="14" xfId="0" applyNumberFormat="1" applyFill="1" applyBorder="1"/>
    <xf numFmtId="0" fontId="0" fillId="7" borderId="10" xfId="0" applyFill="1" applyBorder="1"/>
    <xf numFmtId="0" fontId="0" fillId="7" borderId="11" xfId="0" applyFill="1" applyBorder="1"/>
    <xf numFmtId="166" fontId="0" fillId="0" borderId="0" xfId="0" applyNumberFormat="1"/>
    <xf numFmtId="165" fontId="0" fillId="7" borderId="8" xfId="0" applyNumberFormat="1" applyFill="1" applyBorder="1"/>
    <xf numFmtId="165" fontId="0" fillId="7" borderId="7" xfId="0" applyNumberFormat="1" applyFill="1" applyBorder="1"/>
    <xf numFmtId="166" fontId="0" fillId="0" borderId="0" xfId="0" applyNumberFormat="1" applyBorder="1"/>
    <xf numFmtId="166" fontId="0" fillId="0" borderId="0" xfId="0" applyNumberFormat="1" applyBorder="1"/>
    <xf numFmtId="170" fontId="0" fillId="0" borderId="0" xfId="0" applyNumberFormat="1" applyBorder="1"/>
    <xf numFmtId="166" fontId="0" fillId="0" borderId="8" xfId="0" applyNumberFormat="1" applyFill="1" applyBorder="1"/>
    <xf numFmtId="166" fontId="0" fillId="0" borderId="7" xfId="0" applyNumberFormat="1" applyBorder="1"/>
    <xf numFmtId="166" fontId="0" fillId="0" borderId="7" xfId="0" applyNumberFormat="1" applyBorder="1"/>
    <xf numFmtId="166" fontId="0" fillId="0" borderId="8" xfId="0" applyNumberFormat="1" applyBorder="1"/>
    <xf numFmtId="166" fontId="0" fillId="0" borderId="8" xfId="0" applyNumberFormat="1" applyBorder="1"/>
    <xf numFmtId="166" fontId="0" fillId="0" borderId="0" xfId="0" applyNumberFormat="1" applyBorder="1"/>
    <xf numFmtId="0" fontId="0" fillId="2" borderId="7" xfId="0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14" borderId="21" xfId="0" applyFill="1" applyBorder="1" applyAlignment="1">
      <alignment horizontal="right"/>
    </xf>
    <xf numFmtId="0" fontId="0" fillId="14" borderId="14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0" fillId="12" borderId="14" xfId="0" applyFill="1" applyBorder="1" applyAlignment="1">
      <alignment horizontal="right"/>
    </xf>
    <xf numFmtId="0" fontId="0" fillId="12" borderId="21" xfId="0" applyFill="1" applyBorder="1" applyAlignment="1">
      <alignment horizontal="right"/>
    </xf>
    <xf numFmtId="165" fontId="0" fillId="7" borderId="8" xfId="0" applyNumberFormat="1" applyFill="1" applyBorder="1"/>
    <xf numFmtId="0" fontId="0" fillId="12" borderId="7" xfId="0" applyFill="1" applyBorder="1" applyAlignment="1">
      <alignment horizontal="right"/>
    </xf>
    <xf numFmtId="0" fontId="0" fillId="12" borderId="18" xfId="0" applyFill="1" applyBorder="1" applyAlignment="1">
      <alignment horizontal="right"/>
    </xf>
    <xf numFmtId="1" fontId="0" fillId="13" borderId="7" xfId="0" applyNumberFormat="1" applyFill="1" applyBorder="1"/>
    <xf numFmtId="165" fontId="0" fillId="13" borderId="7" xfId="0" applyNumberFormat="1" applyFill="1" applyBorder="1"/>
    <xf numFmtId="165" fontId="0" fillId="13" borderId="7" xfId="0" applyNumberFormat="1" applyFill="1" applyBorder="1"/>
    <xf numFmtId="2" fontId="0" fillId="8" borderId="7" xfId="0" applyNumberFormat="1" applyFill="1" applyBorder="1"/>
    <xf numFmtId="2" fontId="0" fillId="8" borderId="7" xfId="0" applyNumberFormat="1" applyFill="1" applyBorder="1"/>
    <xf numFmtId="0" fontId="0" fillId="2" borderId="24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166" fontId="0" fillId="0" borderId="0" xfId="0" applyNumberFormat="1"/>
    <xf numFmtId="166" fontId="0" fillId="0" borderId="18" xfId="0" applyNumberFormat="1" applyBorder="1"/>
    <xf numFmtId="165" fontId="0" fillId="7" borderId="8" xfId="0" applyNumberFormat="1" applyFill="1" applyBorder="1"/>
    <xf numFmtId="165" fontId="0" fillId="7" borderId="8" xfId="0" applyNumberFormat="1" applyFill="1" applyBorder="1"/>
    <xf numFmtId="165" fontId="0" fillId="7" borderId="8" xfId="0" applyNumberFormat="1" applyFill="1" applyBorder="1"/>
    <xf numFmtId="165" fontId="0" fillId="7" borderId="8" xfId="0" applyNumberFormat="1" applyFill="1" applyBorder="1"/>
    <xf numFmtId="165" fontId="0" fillId="4" borderId="7" xfId="0" applyNumberForma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5" fillId="17" borderId="8" xfId="0" applyFont="1" applyFill="1" applyBorder="1" applyAlignment="1">
      <alignment horizontal="right"/>
    </xf>
    <xf numFmtId="0" fontId="15" fillId="2" borderId="9" xfId="0" applyFont="1" applyFill="1" applyBorder="1"/>
    <xf numFmtId="165" fontId="15" fillId="2" borderId="11" xfId="0" applyNumberFormat="1" applyFont="1" applyFill="1" applyBorder="1"/>
    <xf numFmtId="165" fontId="0" fillId="0" borderId="7" xfId="0" applyNumberFormat="1" applyBorder="1" applyAlignment="1">
      <alignment horizontal="center"/>
    </xf>
    <xf numFmtId="0" fontId="0" fillId="5" borderId="2" xfId="0" applyFill="1" applyBorder="1" applyAlignment="1">
      <alignment horizontal="right"/>
    </xf>
    <xf numFmtId="2" fontId="0" fillId="0" borderId="7" xfId="0" applyNumberFormat="1" applyBorder="1"/>
    <xf numFmtId="1" fontId="0" fillId="4" borderId="7" xfId="0" applyNumberFormat="1" applyFill="1" applyBorder="1" applyAlignment="1">
      <alignment horizontal="center"/>
    </xf>
    <xf numFmtId="165" fontId="0" fillId="7" borderId="8" xfId="0" applyNumberFormat="1" applyFill="1" applyBorder="1"/>
    <xf numFmtId="169" fontId="0" fillId="12" borderId="7" xfId="0" applyNumberFormat="1" applyFill="1" applyBorder="1"/>
    <xf numFmtId="165" fontId="0" fillId="7" borderId="7" xfId="0" applyNumberFormat="1" applyFill="1" applyBorder="1"/>
    <xf numFmtId="165" fontId="0" fillId="7" borderId="8" xfId="0" applyNumberFormat="1" applyFill="1" applyBorder="1"/>
    <xf numFmtId="0" fontId="23" fillId="17" borderId="0" xfId="0" applyFont="1" applyFill="1" applyAlignment="1">
      <alignment horizontal="right"/>
    </xf>
    <xf numFmtId="0" fontId="23" fillId="17" borderId="0" xfId="0" applyFont="1" applyFill="1" applyAlignment="1">
      <alignment horizontal="center"/>
    </xf>
    <xf numFmtId="0" fontId="23" fillId="17" borderId="0" xfId="0" applyFont="1" applyFill="1"/>
    <xf numFmtId="165" fontId="0" fillId="0" borderId="7" xfId="0" applyNumberFormat="1" applyBorder="1"/>
    <xf numFmtId="0" fontId="9" fillId="3" borderId="9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165" fontId="0" fillId="0" borderId="7" xfId="0" applyNumberFormat="1" applyBorder="1"/>
    <xf numFmtId="165" fontId="0" fillId="0" borderId="7" xfId="0" applyNumberFormat="1" applyBorder="1"/>
    <xf numFmtId="165" fontId="0" fillId="0" borderId="7" xfId="0" applyNumberFormat="1" applyBorder="1"/>
    <xf numFmtId="165" fontId="0" fillId="0" borderId="7" xfId="0" applyNumberFormat="1" applyBorder="1"/>
    <xf numFmtId="0" fontId="8" fillId="0" borderId="0" xfId="0" applyFont="1" applyAlignment="1">
      <alignment horizontal="right"/>
    </xf>
    <xf numFmtId="167" fontId="0" fillId="0" borderId="0" xfId="0" applyNumberFormat="1"/>
    <xf numFmtId="166" fontId="0" fillId="0" borderId="0" xfId="0" applyNumberFormat="1"/>
    <xf numFmtId="166" fontId="0" fillId="0" borderId="0" xfId="0" applyNumberFormat="1"/>
    <xf numFmtId="0" fontId="21" fillId="4" borderId="0" xfId="0" applyFont="1" applyFill="1" applyBorder="1" applyAlignment="1">
      <alignment horizontal="right"/>
    </xf>
    <xf numFmtId="0" fontId="24" fillId="4" borderId="0" xfId="0" applyFont="1" applyFill="1" applyBorder="1"/>
    <xf numFmtId="1" fontId="21" fillId="4" borderId="0" xfId="0" applyNumberFormat="1" applyFont="1" applyFill="1" applyBorder="1"/>
    <xf numFmtId="1" fontId="21" fillId="0" borderId="0" xfId="0" applyNumberFormat="1" applyFont="1" applyBorder="1"/>
    <xf numFmtId="165" fontId="0" fillId="7" borderId="18" xfId="0" applyNumberFormat="1" applyFill="1" applyBorder="1"/>
    <xf numFmtId="168" fontId="0" fillId="0" borderId="0" xfId="0" applyNumberFormat="1"/>
    <xf numFmtId="166" fontId="0" fillId="0" borderId="18" xfId="0" applyNumberFormat="1" applyFill="1" applyBorder="1"/>
    <xf numFmtId="165" fontId="0" fillId="7" borderId="7" xfId="0" applyNumberFormat="1" applyFill="1" applyBorder="1"/>
    <xf numFmtId="166" fontId="0" fillId="0" borderId="0" xfId="0" applyNumberFormat="1"/>
    <xf numFmtId="166" fontId="0" fillId="0" borderId="7" xfId="0" applyNumberFormat="1" applyBorder="1"/>
    <xf numFmtId="165" fontId="0" fillId="7" borderId="7" xfId="0" applyNumberFormat="1" applyFill="1" applyBorder="1"/>
    <xf numFmtId="165" fontId="0" fillId="0" borderId="7" xfId="0" applyNumberFormat="1" applyBorder="1"/>
    <xf numFmtId="0" fontId="0" fillId="0" borderId="0" xfId="0" applyAlignment="1">
      <alignment horizontal="center"/>
    </xf>
    <xf numFmtId="0" fontId="0" fillId="0" borderId="7" xfId="0" quotePrefix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7" borderId="32" xfId="0" applyFill="1" applyBorder="1" applyAlignment="1">
      <alignment horizontal="center"/>
    </xf>
    <xf numFmtId="165" fontId="0" fillId="0" borderId="32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0" fontId="0" fillId="0" borderId="30" xfId="0" applyBorder="1"/>
    <xf numFmtId="1" fontId="0" fillId="0" borderId="30" xfId="0" applyNumberFormat="1" applyBorder="1"/>
    <xf numFmtId="1" fontId="0" fillId="0" borderId="33" xfId="0" applyNumberFormat="1" applyBorder="1"/>
    <xf numFmtId="2" fontId="0" fillId="0" borderId="30" xfId="0" applyNumberFormat="1" applyBorder="1" applyAlignment="1">
      <alignment horizontal="center"/>
    </xf>
    <xf numFmtId="165" fontId="0" fillId="7" borderId="7" xfId="0" applyNumberFormat="1" applyFill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12" fillId="11" borderId="28" xfId="0" applyFont="1" applyFill="1" applyBorder="1" applyAlignment="1">
      <alignment horizontal="right"/>
    </xf>
    <xf numFmtId="0" fontId="12" fillId="11" borderId="5" xfId="0" applyFont="1" applyFill="1" applyBorder="1"/>
    <xf numFmtId="0" fontId="0" fillId="3" borderId="0" xfId="0" applyFill="1" applyBorder="1"/>
    <xf numFmtId="0" fontId="0" fillId="3" borderId="7" xfId="0" applyFill="1" applyBorder="1" applyAlignment="1">
      <alignment horizontal="center"/>
    </xf>
    <xf numFmtId="0" fontId="7" fillId="3" borderId="28" xfId="0" applyFont="1" applyFill="1" applyBorder="1" applyAlignment="1">
      <alignment horizontal="right"/>
    </xf>
    <xf numFmtId="0" fontId="0" fillId="3" borderId="5" xfId="0" applyFill="1" applyBorder="1"/>
    <xf numFmtId="0" fontId="0" fillId="3" borderId="29" xfId="0" applyFill="1" applyBorder="1"/>
    <xf numFmtId="0" fontId="0" fillId="3" borderId="30" xfId="0" applyFill="1" applyBorder="1"/>
    <xf numFmtId="0" fontId="0" fillId="3" borderId="30" xfId="0" applyFill="1" applyBorder="1" applyAlignment="1">
      <alignment horizontal="center"/>
    </xf>
    <xf numFmtId="0" fontId="7" fillId="12" borderId="8" xfId="0" applyFont="1" applyFill="1" applyBorder="1" applyAlignment="1">
      <alignment horizontal="right"/>
    </xf>
    <xf numFmtId="0" fontId="7" fillId="12" borderId="27" xfId="0" applyFont="1" applyFill="1" applyBorder="1" applyAlignment="1">
      <alignment horizontal="center"/>
    </xf>
    <xf numFmtId="0" fontId="6" fillId="12" borderId="18" xfId="0" applyFont="1" applyFill="1" applyBorder="1"/>
    <xf numFmtId="0" fontId="0" fillId="3" borderId="36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165" fontId="0" fillId="7" borderId="11" xfId="0" applyNumberForma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11" fillId="11" borderId="2" xfId="0" applyFont="1" applyFill="1" applyBorder="1" applyAlignment="1">
      <alignment horizontal="right"/>
    </xf>
    <xf numFmtId="0" fontId="11" fillId="11" borderId="5" xfId="0" applyFont="1" applyFill="1" applyBorder="1"/>
    <xf numFmtId="0" fontId="16" fillId="4" borderId="0" xfId="0" applyFont="1" applyFill="1" applyBorder="1" applyAlignment="1">
      <alignment horizontal="left"/>
    </xf>
    <xf numFmtId="1" fontId="19" fillId="10" borderId="8" xfId="0" applyNumberFormat="1" applyFont="1" applyFill="1" applyBorder="1" applyAlignment="1">
      <alignment horizontal="right"/>
    </xf>
    <xf numFmtId="165" fontId="0" fillId="0" borderId="7" xfId="0" applyNumberFormat="1" applyBorder="1"/>
    <xf numFmtId="0" fontId="21" fillId="12" borderId="7" xfId="0" applyFont="1" applyFill="1" applyBorder="1" applyAlignment="1">
      <alignment horizontal="right"/>
    </xf>
    <xf numFmtId="2" fontId="21" fillId="4" borderId="0" xfId="0" applyNumberFormat="1" applyFont="1" applyFill="1" applyBorder="1" applyAlignment="1">
      <alignment horizontal="right"/>
    </xf>
    <xf numFmtId="2" fontId="21" fillId="4" borderId="0" xfId="0" applyNumberFormat="1" applyFont="1" applyFill="1" applyBorder="1"/>
    <xf numFmtId="166" fontId="0" fillId="0" borderId="0" xfId="0" applyNumberFormat="1"/>
    <xf numFmtId="0" fontId="0" fillId="17" borderId="7" xfId="0" applyFill="1" applyBorder="1"/>
    <xf numFmtId="0" fontId="0" fillId="3" borderId="25" xfId="0" applyFill="1" applyBorder="1" applyAlignment="1">
      <alignment horizontal="right"/>
    </xf>
    <xf numFmtId="0" fontId="0" fillId="3" borderId="26" xfId="0" applyFill="1" applyBorder="1"/>
    <xf numFmtId="0" fontId="0" fillId="12" borderId="0" xfId="0" applyFill="1" applyBorder="1"/>
    <xf numFmtId="166" fontId="0" fillId="12" borderId="7" xfId="0" applyNumberFormat="1" applyFill="1" applyBorder="1" applyAlignment="1">
      <alignment horizontal="left"/>
    </xf>
    <xf numFmtId="165" fontId="0" fillId="7" borderId="7" xfId="0" applyNumberFormat="1" applyFill="1" applyBorder="1" applyAlignment="1">
      <alignment horizontal="left"/>
    </xf>
    <xf numFmtId="165" fontId="0" fillId="0" borderId="7" xfId="0" applyNumberFormat="1" applyBorder="1" applyAlignment="1">
      <alignment horizontal="right"/>
    </xf>
    <xf numFmtId="2" fontId="0" fillId="0" borderId="8" xfId="0" applyNumberFormat="1" applyBorder="1"/>
    <xf numFmtId="165" fontId="0" fillId="7" borderId="7" xfId="0" applyNumberFormat="1" applyFill="1" applyBorder="1" applyAlignment="1">
      <alignment horizontal="left"/>
    </xf>
    <xf numFmtId="0" fontId="19" fillId="10" borderId="27" xfId="0" applyFont="1" applyFill="1" applyBorder="1" applyAlignment="1">
      <alignment horizontal="center"/>
    </xf>
    <xf numFmtId="2" fontId="0" fillId="0" borderId="7" xfId="0" applyNumberFormat="1" applyBorder="1"/>
    <xf numFmtId="0" fontId="18" fillId="0" borderId="0" xfId="0" applyFont="1"/>
    <xf numFmtId="0" fontId="18" fillId="13" borderId="9" xfId="0" applyFont="1" applyFill="1" applyBorder="1"/>
    <xf numFmtId="0" fontId="18" fillId="12" borderId="7" xfId="0" applyFont="1" applyFill="1" applyBorder="1" applyAlignment="1">
      <alignment horizontal="right"/>
    </xf>
    <xf numFmtId="1" fontId="0" fillId="0" borderId="0" xfId="0" applyNumberFormat="1" applyBorder="1"/>
    <xf numFmtId="165" fontId="0" fillId="7" borderId="8" xfId="0" applyNumberFormat="1" applyFill="1" applyBorder="1"/>
    <xf numFmtId="2" fontId="0" fillId="7" borderId="7" xfId="0" applyNumberFormat="1" applyFill="1" applyBorder="1" applyAlignment="1">
      <alignment horizontal="left"/>
    </xf>
    <xf numFmtId="0" fontId="0" fillId="8" borderId="7" xfId="0" applyFill="1" applyBorder="1" applyAlignment="1">
      <alignment horizontal="center"/>
    </xf>
    <xf numFmtId="0" fontId="0" fillId="18" borderId="7" xfId="0" applyFill="1" applyBorder="1" applyAlignment="1">
      <alignment horizontal="right"/>
    </xf>
    <xf numFmtId="168" fontId="0" fillId="0" borderId="0" xfId="0" applyNumberFormat="1"/>
    <xf numFmtId="166" fontId="0" fillId="0" borderId="0" xfId="0" applyNumberFormat="1"/>
    <xf numFmtId="0" fontId="0" fillId="10" borderId="2" xfId="0" applyFill="1" applyBorder="1"/>
    <xf numFmtId="0" fontId="0" fillId="10" borderId="4" xfId="0" applyFill="1" applyBorder="1"/>
    <xf numFmtId="0" fontId="0" fillId="8" borderId="10" xfId="0" applyFill="1" applyBorder="1"/>
    <xf numFmtId="0" fontId="0" fillId="8" borderId="11" xfId="0" applyFill="1" applyBorder="1"/>
    <xf numFmtId="0" fontId="0" fillId="10" borderId="16" xfId="0" applyFill="1" applyBorder="1"/>
    <xf numFmtId="165" fontId="0" fillId="0" borderId="7" xfId="0" applyNumberFormat="1" applyBorder="1"/>
    <xf numFmtId="165" fontId="0" fillId="0" borderId="7" xfId="0" applyNumberFormat="1" applyBorder="1"/>
    <xf numFmtId="165" fontId="0" fillId="0" borderId="7" xfId="0" applyNumberFormat="1" applyBorder="1"/>
    <xf numFmtId="165" fontId="0" fillId="0" borderId="7" xfId="0" applyNumberFormat="1" applyBorder="1"/>
    <xf numFmtId="165" fontId="0" fillId="0" borderId="7" xfId="0" applyNumberFormat="1" applyBorder="1"/>
    <xf numFmtId="165" fontId="0" fillId="0" borderId="7" xfId="0" applyNumberFormat="1" applyFill="1" applyBorder="1"/>
    <xf numFmtId="0" fontId="1" fillId="8" borderId="7" xfId="0" applyFont="1" applyFill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7" fontId="0" fillId="2" borderId="14" xfId="0" applyNumberFormat="1" applyFill="1" applyBorder="1" applyAlignment="1">
      <alignment horizontal="right"/>
    </xf>
    <xf numFmtId="166" fontId="0" fillId="0" borderId="26" xfId="0" applyNumberFormat="1" applyFill="1" applyBorder="1"/>
    <xf numFmtId="168" fontId="0" fillId="0" borderId="0" xfId="0" applyNumberFormat="1"/>
    <xf numFmtId="166" fontId="0" fillId="0" borderId="0" xfId="0" applyNumberFormat="1"/>
    <xf numFmtId="0" fontId="27" fillId="8" borderId="1" xfId="0" applyFont="1" applyFill="1" applyBorder="1"/>
    <xf numFmtId="0" fontId="27" fillId="8" borderId="3" xfId="0" applyFont="1" applyFill="1" applyBorder="1"/>
    <xf numFmtId="0" fontId="26" fillId="2" borderId="7" xfId="0" applyFont="1" applyFill="1" applyBorder="1"/>
    <xf numFmtId="0" fontId="27" fillId="6" borderId="5" xfId="0" applyFont="1" applyFill="1" applyBorder="1"/>
    <xf numFmtId="0" fontId="28" fillId="11" borderId="17" xfId="0" applyFont="1" applyFill="1" applyBorder="1"/>
    <xf numFmtId="0" fontId="28" fillId="11" borderId="16" xfId="0" applyFont="1" applyFill="1" applyBorder="1" applyAlignment="1">
      <alignment horizontal="right"/>
    </xf>
    <xf numFmtId="0" fontId="27" fillId="21" borderId="11" xfId="0" applyFont="1" applyFill="1" applyBorder="1" applyAlignment="1">
      <alignment horizontal="right"/>
    </xf>
    <xf numFmtId="0" fontId="27" fillId="22" borderId="14" xfId="0" applyFont="1" applyFill="1" applyBorder="1" applyAlignment="1">
      <alignment horizontal="right"/>
    </xf>
    <xf numFmtId="0" fontId="27" fillId="21" borderId="9" xfId="0" applyFont="1" applyFill="1" applyBorder="1" applyAlignment="1">
      <alignment horizontal="left"/>
    </xf>
    <xf numFmtId="0" fontId="27" fillId="0" borderId="0" xfId="0" applyFont="1"/>
    <xf numFmtId="0" fontId="0" fillId="23" borderId="0" xfId="0" applyFill="1" applyBorder="1"/>
    <xf numFmtId="0" fontId="27" fillId="22" borderId="7" xfId="0" applyFont="1" applyFill="1" applyBorder="1" applyAlignment="1">
      <alignment horizontal="right"/>
    </xf>
    <xf numFmtId="0" fontId="27" fillId="17" borderId="18" xfId="0" applyFont="1" applyFill="1" applyBorder="1"/>
    <xf numFmtId="0" fontId="27" fillId="17" borderId="8" xfId="0" applyFont="1" applyFill="1" applyBorder="1" applyAlignment="1">
      <alignment horizontal="right"/>
    </xf>
    <xf numFmtId="1" fontId="0" fillId="24" borderId="7" xfId="0" applyNumberFormat="1" applyFill="1" applyBorder="1" applyAlignment="1">
      <alignment horizontal="left"/>
    </xf>
    <xf numFmtId="0" fontId="0" fillId="23" borderId="11" xfId="0" applyFill="1" applyBorder="1" applyAlignment="1">
      <alignment horizontal="right"/>
    </xf>
    <xf numFmtId="165" fontId="0" fillId="25" borderId="7" xfId="0" applyNumberFormat="1" applyFill="1" applyBorder="1"/>
    <xf numFmtId="2" fontId="27" fillId="24" borderId="7" xfId="0" applyNumberFormat="1" applyFont="1" applyFill="1" applyBorder="1"/>
    <xf numFmtId="2" fontId="26" fillId="2" borderId="9" xfId="0" applyNumberFormat="1" applyFont="1" applyFill="1" applyBorder="1" applyAlignment="1">
      <alignment horizontal="right"/>
    </xf>
    <xf numFmtId="0" fontId="0" fillId="20" borderId="18" xfId="0" applyFill="1" applyBorder="1" applyAlignment="1">
      <alignment horizontal="right"/>
    </xf>
    <xf numFmtId="0" fontId="0" fillId="24" borderId="21" xfId="0" applyFill="1" applyBorder="1"/>
    <xf numFmtId="0" fontId="0" fillId="24" borderId="14" xfId="0" applyFill="1" applyBorder="1"/>
    <xf numFmtId="0" fontId="0" fillId="22" borderId="20" xfId="0" applyFill="1" applyBorder="1" applyAlignment="1">
      <alignment horizontal="right"/>
    </xf>
    <xf numFmtId="0" fontId="0" fillId="22" borderId="22" xfId="0" applyFill="1" applyBorder="1" applyAlignment="1">
      <alignment horizontal="right"/>
    </xf>
    <xf numFmtId="0" fontId="0" fillId="20" borderId="7" xfId="0" applyFill="1" applyBorder="1" applyAlignment="1">
      <alignment horizontal="right"/>
    </xf>
    <xf numFmtId="0" fontId="27" fillId="20" borderId="7" xfId="0" applyFont="1" applyFill="1" applyBorder="1" applyAlignment="1">
      <alignment horizontal="right"/>
    </xf>
    <xf numFmtId="0" fontId="0" fillId="20" borderId="9" xfId="0" applyFill="1" applyBorder="1" applyAlignment="1">
      <alignment horizontal="center"/>
    </xf>
    <xf numFmtId="0" fontId="27" fillId="20" borderId="11" xfId="0" applyFont="1" applyFill="1" applyBorder="1" applyAlignment="1">
      <alignment horizontal="center"/>
    </xf>
    <xf numFmtId="0" fontId="0" fillId="20" borderId="7" xfId="0" applyFill="1" applyBorder="1"/>
    <xf numFmtId="0" fontId="0" fillId="20" borderId="10" xfId="0" applyFont="1" applyFill="1" applyBorder="1"/>
    <xf numFmtId="0" fontId="27" fillId="20" borderId="7" xfId="0" applyFont="1" applyFill="1" applyBorder="1"/>
    <xf numFmtId="0" fontId="27" fillId="5" borderId="3" xfId="0" applyFont="1" applyFill="1" applyBorder="1"/>
    <xf numFmtId="0" fontId="0" fillId="3" borderId="6" xfId="0" applyFill="1" applyBorder="1"/>
    <xf numFmtId="2" fontId="0" fillId="0" borderId="18" xfId="0" applyNumberFormat="1" applyBorder="1"/>
    <xf numFmtId="2" fontId="0" fillId="0" borderId="7" xfId="0" applyNumberFormat="1" applyBorder="1" applyAlignment="1">
      <alignment horizontal="center"/>
    </xf>
    <xf numFmtId="1" fontId="0" fillId="26" borderId="27" xfId="0" applyNumberFormat="1" applyFill="1" applyBorder="1" applyAlignment="1">
      <alignment horizontal="center"/>
    </xf>
    <xf numFmtId="0" fontId="27" fillId="3" borderId="6" xfId="0" applyFont="1" applyFill="1" applyBorder="1"/>
    <xf numFmtId="0" fontId="16" fillId="20" borderId="7" xfId="1" applyFont="1" applyFill="1" applyBorder="1" applyAlignment="1" applyProtection="1"/>
    <xf numFmtId="0" fontId="26" fillId="15" borderId="8" xfId="0" applyFont="1" applyFill="1" applyBorder="1"/>
    <xf numFmtId="0" fontId="0" fillId="12" borderId="20" xfId="0" applyFill="1" applyBorder="1" applyAlignment="1">
      <alignment horizontal="right"/>
    </xf>
    <xf numFmtId="0" fontId="0" fillId="13" borderId="18" xfId="0" applyFill="1" applyBorder="1" applyAlignment="1">
      <alignment horizontal="right"/>
    </xf>
    <xf numFmtId="0" fontId="18" fillId="13" borderId="18" xfId="0" applyFont="1" applyFill="1" applyBorder="1" applyAlignment="1">
      <alignment horizontal="right"/>
    </xf>
    <xf numFmtId="0" fontId="0" fillId="13" borderId="7" xfId="0" applyFill="1" applyBorder="1" applyAlignment="1">
      <alignment horizontal="right"/>
    </xf>
    <xf numFmtId="0" fontId="1" fillId="15" borderId="7" xfId="0" applyFont="1" applyFill="1" applyBorder="1" applyAlignment="1">
      <alignment horizontal="center"/>
    </xf>
    <xf numFmtId="0" fontId="0" fillId="15" borderId="7" xfId="0" applyFill="1" applyBorder="1" applyAlignment="1">
      <alignment horizontal="center"/>
    </xf>
    <xf numFmtId="0" fontId="9" fillId="15" borderId="9" xfId="0" applyFont="1" applyFill="1" applyBorder="1" applyAlignment="1">
      <alignment horizontal="center"/>
    </xf>
    <xf numFmtId="0" fontId="9" fillId="15" borderId="11" xfId="0" applyFont="1" applyFill="1" applyBorder="1" applyAlignment="1">
      <alignment horizontal="center"/>
    </xf>
    <xf numFmtId="0" fontId="15" fillId="15" borderId="7" xfId="0" applyFont="1" applyFill="1" applyBorder="1"/>
    <xf numFmtId="165" fontId="0" fillId="7" borderId="19" xfId="0" applyNumberFormat="1" applyFill="1" applyBorder="1"/>
    <xf numFmtId="165" fontId="0" fillId="7" borderId="24" xfId="0" applyNumberFormat="1" applyFill="1" applyBorder="1"/>
    <xf numFmtId="0" fontId="0" fillId="23" borderId="7" xfId="0" applyFill="1" applyBorder="1"/>
    <xf numFmtId="167" fontId="0" fillId="0" borderId="7" xfId="0" applyNumberFormat="1" applyBorder="1"/>
    <xf numFmtId="0" fontId="0" fillId="0" borderId="8" xfId="0" applyBorder="1"/>
    <xf numFmtId="0" fontId="0" fillId="0" borderId="18" xfId="0" applyBorder="1"/>
    <xf numFmtId="2" fontId="24" fillId="13" borderId="8" xfId="0" applyNumberFormat="1" applyFont="1" applyFill="1" applyBorder="1" applyAlignment="1">
      <alignment horizontal="left"/>
    </xf>
    <xf numFmtId="0" fontId="12" fillId="2" borderId="18" xfId="0" applyFont="1" applyFill="1" applyBorder="1" applyAlignment="1">
      <alignment horizontal="right"/>
    </xf>
    <xf numFmtId="2" fontId="0" fillId="0" borderId="7" xfId="0" applyNumberFormat="1" applyBorder="1" applyAlignment="1">
      <alignment horizontal="right"/>
    </xf>
    <xf numFmtId="0" fontId="0" fillId="0" borderId="27" xfId="0" applyBorder="1"/>
    <xf numFmtId="2" fontId="0" fillId="25" borderId="7" xfId="0" applyNumberFormat="1" applyFill="1" applyBorder="1"/>
    <xf numFmtId="0" fontId="0" fillId="7" borderId="7" xfId="0" applyFill="1" applyBorder="1" applyAlignment="1">
      <alignment horizontal="right"/>
    </xf>
    <xf numFmtId="1" fontId="0" fillId="23" borderId="0" xfId="0" applyNumberFormat="1" applyFill="1" applyBorder="1"/>
    <xf numFmtId="0" fontId="0" fillId="25" borderId="3" xfId="0" applyFill="1" applyBorder="1"/>
    <xf numFmtId="0" fontId="0" fillId="24" borderId="3" xfId="0" applyFill="1" applyBorder="1"/>
    <xf numFmtId="0" fontId="0" fillId="25" borderId="1" xfId="0" applyFill="1" applyBorder="1"/>
    <xf numFmtId="0" fontId="0" fillId="20" borderId="7" xfId="0" applyFill="1" applyBorder="1" applyAlignment="1">
      <alignment horizontal="center"/>
    </xf>
    <xf numFmtId="0" fontId="0" fillId="20" borderId="7" xfId="0" applyFill="1" applyBorder="1" applyAlignment="1">
      <alignment horizontal="left"/>
    </xf>
    <xf numFmtId="0" fontId="0" fillId="20" borderId="18" xfId="0" applyFill="1" applyBorder="1" applyAlignment="1">
      <alignment horizontal="center"/>
    </xf>
    <xf numFmtId="0" fontId="0" fillId="20" borderId="30" xfId="0" applyFill="1" applyBorder="1" applyAlignment="1">
      <alignment horizontal="center"/>
    </xf>
    <xf numFmtId="0" fontId="0" fillId="20" borderId="36" xfId="0" applyFill="1" applyBorder="1" applyAlignment="1">
      <alignment horizontal="center"/>
    </xf>
    <xf numFmtId="0" fontId="0" fillId="27" borderId="11" xfId="0" applyFill="1" applyBorder="1" applyAlignment="1">
      <alignment horizontal="center"/>
    </xf>
    <xf numFmtId="0" fontId="0" fillId="27" borderId="29" xfId="0" applyFill="1" applyBorder="1" applyAlignment="1">
      <alignment horizontal="right"/>
    </xf>
    <xf numFmtId="0" fontId="0" fillId="27" borderId="9" xfId="0" applyFill="1" applyBorder="1" applyAlignment="1">
      <alignment horizontal="center"/>
    </xf>
    <xf numFmtId="0" fontId="0" fillId="27" borderId="10" xfId="0" applyFill="1" applyBorder="1" applyAlignment="1">
      <alignment horizontal="center"/>
    </xf>
    <xf numFmtId="0" fontId="0" fillId="29" borderId="7" xfId="0" applyFill="1" applyBorder="1" applyAlignment="1">
      <alignment horizontal="center"/>
    </xf>
    <xf numFmtId="166" fontId="27" fillId="0" borderId="7" xfId="0" applyNumberFormat="1" applyFont="1" applyBorder="1"/>
    <xf numFmtId="0" fontId="29" fillId="3" borderId="3" xfId="0" applyFont="1" applyFill="1" applyBorder="1"/>
    <xf numFmtId="0" fontId="29" fillId="2" borderId="3" xfId="0" applyFont="1" applyFill="1" applyBorder="1"/>
    <xf numFmtId="0" fontId="29" fillId="2" borderId="6" xfId="0" applyFont="1" applyFill="1" applyBorder="1"/>
    <xf numFmtId="0" fontId="28" fillId="5" borderId="12" xfId="0" applyFont="1" applyFill="1" applyBorder="1" applyAlignment="1">
      <alignment horizontal="right"/>
    </xf>
    <xf numFmtId="0" fontId="28" fillId="5" borderId="37" xfId="0" applyFont="1" applyFill="1" applyBorder="1" applyAlignment="1">
      <alignment horizontal="right"/>
    </xf>
    <xf numFmtId="0" fontId="28" fillId="5" borderId="23" xfId="0" applyFont="1" applyFill="1" applyBorder="1"/>
    <xf numFmtId="0" fontId="28" fillId="8" borderId="9" xfId="0" applyFont="1" applyFill="1" applyBorder="1"/>
    <xf numFmtId="0" fontId="0" fillId="8" borderId="9" xfId="0" applyFont="1" applyFill="1" applyBorder="1"/>
    <xf numFmtId="0" fontId="29" fillId="25" borderId="11" xfId="0" applyFont="1" applyFill="1" applyBorder="1"/>
    <xf numFmtId="0" fontId="0" fillId="8" borderId="11" xfId="0" applyFont="1" applyFill="1" applyBorder="1"/>
    <xf numFmtId="0" fontId="0" fillId="28" borderId="8" xfId="0" applyFont="1" applyFill="1" applyBorder="1"/>
    <xf numFmtId="0" fontId="28" fillId="28" borderId="9" xfId="0" applyFont="1" applyFill="1" applyBorder="1"/>
    <xf numFmtId="0" fontId="0" fillId="28" borderId="10" xfId="0" applyFill="1" applyBorder="1"/>
    <xf numFmtId="0" fontId="28" fillId="28" borderId="11" xfId="0" applyFont="1" applyFill="1" applyBorder="1"/>
    <xf numFmtId="0" fontId="29" fillId="25" borderId="9" xfId="0" applyFont="1" applyFill="1" applyBorder="1"/>
    <xf numFmtId="0" fontId="27" fillId="22" borderId="7" xfId="0" applyFont="1" applyFill="1" applyBorder="1"/>
    <xf numFmtId="0" fontId="29" fillId="23" borderId="0" xfId="0" applyFont="1" applyFill="1" applyBorder="1"/>
    <xf numFmtId="0" fontId="18" fillId="25" borderId="8" xfId="0" applyFont="1" applyFill="1" applyBorder="1"/>
    <xf numFmtId="1" fontId="0" fillId="28" borderId="7" xfId="0" applyNumberFormat="1" applyFill="1" applyBorder="1" applyAlignment="1">
      <alignment horizontal="left"/>
    </xf>
    <xf numFmtId="2" fontId="0" fillId="28" borderId="7" xfId="0" applyNumberFormat="1" applyFill="1" applyBorder="1" applyAlignment="1">
      <alignment horizontal="right"/>
    </xf>
    <xf numFmtId="166" fontId="0" fillId="28" borderId="7" xfId="0" applyNumberFormat="1" applyFill="1" applyBorder="1" applyAlignment="1">
      <alignment horizontal="left"/>
    </xf>
    <xf numFmtId="0" fontId="18" fillId="31" borderId="7" xfId="0" applyFont="1" applyFill="1" applyBorder="1"/>
    <xf numFmtId="0" fontId="18" fillId="20" borderId="7" xfId="0" applyFont="1" applyFill="1" applyBorder="1"/>
    <xf numFmtId="165" fontId="0" fillId="28" borderId="7" xfId="0" applyNumberFormat="1" applyFill="1" applyBorder="1"/>
    <xf numFmtId="2" fontId="0" fillId="28" borderId="7" xfId="0" applyNumberFormat="1" applyFill="1" applyBorder="1"/>
    <xf numFmtId="0" fontId="29" fillId="0" borderId="0" xfId="0" applyFont="1"/>
    <xf numFmtId="49" fontId="18" fillId="19" borderId="18" xfId="0" applyNumberFormat="1" applyFont="1" applyFill="1" applyBorder="1" applyAlignment="1">
      <alignment horizontal="center"/>
    </xf>
    <xf numFmtId="49" fontId="18" fillId="19" borderId="7" xfId="0" applyNumberFormat="1" applyFont="1" applyFill="1" applyBorder="1" applyAlignment="1">
      <alignment horizontal="right"/>
    </xf>
    <xf numFmtId="49" fontId="29" fillId="19" borderId="7" xfId="0" applyNumberFormat="1" applyFont="1" applyFill="1" applyBorder="1"/>
    <xf numFmtId="0" fontId="29" fillId="21" borderId="7" xfId="0" applyFont="1" applyFill="1" applyBorder="1" applyAlignment="1">
      <alignment horizontal="right"/>
    </xf>
    <xf numFmtId="0" fontId="0" fillId="30" borderId="11" xfId="0" applyFill="1" applyBorder="1"/>
    <xf numFmtId="2" fontId="0" fillId="23" borderId="38" xfId="0" applyNumberFormat="1" applyFill="1" applyBorder="1"/>
    <xf numFmtId="2" fontId="0" fillId="23" borderId="39" xfId="0" applyNumberFormat="1" applyFill="1" applyBorder="1"/>
    <xf numFmtId="0" fontId="0" fillId="0" borderId="40" xfId="0" applyBorder="1"/>
    <xf numFmtId="0" fontId="0" fillId="4" borderId="41" xfId="0" applyFill="1" applyBorder="1"/>
    <xf numFmtId="0" fontId="0" fillId="4" borderId="40" xfId="0" applyFill="1" applyBorder="1"/>
    <xf numFmtId="2" fontId="0" fillId="0" borderId="42" xfId="0" applyNumberFormat="1" applyBorder="1"/>
    <xf numFmtId="0" fontId="0" fillId="4" borderId="43" xfId="0" applyFill="1" applyBorder="1" applyAlignment="1">
      <alignment horizontal="right"/>
    </xf>
    <xf numFmtId="0" fontId="0" fillId="4" borderId="43" xfId="0" applyFill="1" applyBorder="1"/>
    <xf numFmtId="2" fontId="0" fillId="4" borderId="43" xfId="0" applyNumberFormat="1" applyFill="1" applyBorder="1" applyAlignment="1">
      <alignment horizontal="left"/>
    </xf>
    <xf numFmtId="1" fontId="0" fillId="4" borderId="43" xfId="0" applyNumberFormat="1" applyFill="1" applyBorder="1" applyAlignment="1">
      <alignment horizontal="left"/>
    </xf>
    <xf numFmtId="0" fontId="0" fillId="0" borderId="44" xfId="0" applyBorder="1"/>
    <xf numFmtId="0" fontId="0" fillId="23" borderId="39" xfId="0" applyFill="1" applyBorder="1"/>
    <xf numFmtId="1" fontId="0" fillId="0" borderId="45" xfId="0" applyNumberFormat="1" applyBorder="1"/>
    <xf numFmtId="2" fontId="0" fillId="0" borderId="45" xfId="0" applyNumberFormat="1" applyBorder="1"/>
    <xf numFmtId="167" fontId="0" fillId="23" borderId="38" xfId="0" applyNumberFormat="1" applyFill="1" applyBorder="1" applyAlignment="1">
      <alignment horizontal="center"/>
    </xf>
    <xf numFmtId="168" fontId="0" fillId="0" borderId="46" xfId="0" applyNumberFormat="1" applyBorder="1"/>
    <xf numFmtId="168" fontId="0" fillId="23" borderId="39" xfId="0" applyNumberFormat="1" applyFill="1" applyBorder="1" applyAlignment="1">
      <alignment horizontal="center"/>
    </xf>
    <xf numFmtId="166" fontId="0" fillId="23" borderId="39" xfId="0" applyNumberFormat="1" applyFill="1" applyBorder="1"/>
    <xf numFmtId="0" fontId="0" fillId="23" borderId="47" xfId="0" applyFill="1" applyBorder="1"/>
    <xf numFmtId="0" fontId="0" fillId="23" borderId="48" xfId="0" applyFill="1" applyBorder="1"/>
    <xf numFmtId="0" fontId="0" fillId="23" borderId="48" xfId="0" applyFill="1" applyBorder="1" applyAlignment="1">
      <alignment horizontal="right"/>
    </xf>
    <xf numFmtId="0" fontId="0" fillId="0" borderId="42" xfId="0" applyBorder="1"/>
    <xf numFmtId="0" fontId="27" fillId="23" borderId="38" xfId="0" applyFont="1" applyFill="1" applyBorder="1"/>
    <xf numFmtId="0" fontId="0" fillId="0" borderId="45" xfId="0" applyBorder="1"/>
    <xf numFmtId="0" fontId="11" fillId="4" borderId="43" xfId="0" applyFont="1" applyFill="1" applyBorder="1" applyAlignment="1">
      <alignment horizontal="right"/>
    </xf>
    <xf numFmtId="0" fontId="11" fillId="4" borderId="49" xfId="0" applyFont="1" applyFill="1" applyBorder="1" applyAlignment="1">
      <alignment horizontal="right"/>
    </xf>
    <xf numFmtId="0" fontId="11" fillId="4" borderId="43" xfId="0" applyFont="1" applyFill="1" applyBorder="1"/>
    <xf numFmtId="0" fontId="11" fillId="4" borderId="50" xfId="0" applyFont="1" applyFill="1" applyBorder="1"/>
    <xf numFmtId="0" fontId="11" fillId="4" borderId="49" xfId="0" applyFont="1" applyFill="1" applyBorder="1"/>
    <xf numFmtId="0" fontId="0" fillId="0" borderId="51" xfId="0" applyBorder="1"/>
    <xf numFmtId="0" fontId="0" fillId="23" borderId="52" xfId="0" applyFill="1" applyBorder="1"/>
    <xf numFmtId="2" fontId="0" fillId="4" borderId="53" xfId="0" applyNumberFormat="1" applyFill="1" applyBorder="1" applyAlignment="1">
      <alignment horizontal="right"/>
    </xf>
    <xf numFmtId="0" fontId="0" fillId="4" borderId="53" xfId="0" applyFill="1" applyBorder="1" applyAlignment="1">
      <alignment horizontal="right"/>
    </xf>
    <xf numFmtId="0" fontId="0" fillId="4" borderId="53" xfId="0" applyFill="1" applyBorder="1"/>
    <xf numFmtId="166" fontId="0" fillId="0" borderId="40" xfId="0" applyNumberFormat="1" applyBorder="1"/>
    <xf numFmtId="1" fontId="3" fillId="4" borderId="54" xfId="0" applyNumberFormat="1" applyFont="1" applyFill="1" applyBorder="1"/>
    <xf numFmtId="166" fontId="0" fillId="4" borderId="54" xfId="0" applyNumberFormat="1" applyFill="1" applyBorder="1"/>
    <xf numFmtId="0" fontId="0" fillId="4" borderId="54" xfId="0" applyFill="1" applyBorder="1"/>
    <xf numFmtId="2" fontId="21" fillId="4" borderId="51" xfId="0" applyNumberFormat="1" applyFont="1" applyFill="1" applyBorder="1"/>
    <xf numFmtId="1" fontId="0" fillId="23" borderId="39" xfId="0" applyNumberFormat="1" applyFill="1" applyBorder="1"/>
    <xf numFmtId="2" fontId="29" fillId="4" borderId="53" xfId="0" applyNumberFormat="1" applyFont="1" applyFill="1" applyBorder="1" applyAlignment="1">
      <alignment horizontal="right"/>
    </xf>
    <xf numFmtId="2" fontId="29" fillId="4" borderId="0" xfId="0" applyNumberFormat="1" applyFont="1" applyFill="1" applyBorder="1" applyAlignment="1">
      <alignment horizontal="right"/>
    </xf>
    <xf numFmtId="0" fontId="31" fillId="21" borderId="0" xfId="0" applyFont="1" applyFill="1"/>
    <xf numFmtId="0" fontId="5" fillId="4" borderId="44" xfId="0" applyFont="1" applyFill="1" applyBorder="1" applyAlignment="1">
      <alignment horizontal="center"/>
    </xf>
    <xf numFmtId="166" fontId="4" fillId="4" borderId="44" xfId="0" applyNumberFormat="1" applyFont="1" applyFill="1" applyBorder="1" applyAlignment="1">
      <alignment horizontal="center"/>
    </xf>
    <xf numFmtId="166" fontId="0" fillId="0" borderId="45" xfId="0" applyNumberFormat="1" applyBorder="1"/>
    <xf numFmtId="1" fontId="0" fillId="23" borderId="0" xfId="0" applyNumberFormat="1" applyFill="1" applyBorder="1" applyAlignment="1">
      <alignment horizontal="left"/>
    </xf>
    <xf numFmtId="0" fontId="0" fillId="0" borderId="48" xfId="0" applyBorder="1"/>
    <xf numFmtId="0" fontId="32" fillId="12" borderId="7" xfId="0" applyFont="1" applyFill="1" applyBorder="1" applyAlignment="1">
      <alignment horizontal="right"/>
    </xf>
    <xf numFmtId="0" fontId="0" fillId="3" borderId="27" xfId="0" applyFill="1" applyBorder="1" applyAlignment="1">
      <alignment horizontal="right"/>
    </xf>
    <xf numFmtId="166" fontId="0" fillId="23" borderId="7" xfId="0" applyNumberFormat="1" applyFill="1" applyBorder="1" applyAlignment="1">
      <alignment horizontal="right"/>
    </xf>
    <xf numFmtId="2" fontId="18" fillId="28" borderId="7" xfId="0" applyNumberFormat="1" applyFont="1" applyFill="1" applyBorder="1"/>
    <xf numFmtId="166" fontId="0" fillId="4" borderId="7" xfId="0" applyNumberFormat="1" applyFill="1" applyBorder="1" applyAlignment="1">
      <alignment horizontal="right"/>
    </xf>
    <xf numFmtId="167" fontId="0" fillId="24" borderId="7" xfId="0" applyNumberFormat="1" applyFill="1" applyBorder="1"/>
    <xf numFmtId="0" fontId="29" fillId="2" borderId="9" xfId="0" applyFont="1" applyFill="1" applyBorder="1" applyAlignment="1">
      <alignment horizontal="center"/>
    </xf>
    <xf numFmtId="0" fontId="29" fillId="2" borderId="10" xfId="0" applyFont="1" applyFill="1" applyBorder="1" applyAlignment="1">
      <alignment horizontal="center"/>
    </xf>
    <xf numFmtId="168" fontId="29" fillId="20" borderId="9" xfId="0" applyNumberFormat="1" applyFont="1" applyFill="1" applyBorder="1" applyAlignment="1">
      <alignment horizontal="center"/>
    </xf>
    <xf numFmtId="167" fontId="29" fillId="20" borderId="10" xfId="0" applyNumberFormat="1" applyFont="1" applyFill="1" applyBorder="1" applyAlignment="1">
      <alignment horizontal="center"/>
    </xf>
    <xf numFmtId="165" fontId="0" fillId="2" borderId="24" xfId="0" applyNumberFormat="1" applyFill="1" applyBorder="1" applyAlignment="1">
      <alignment horizontal="left"/>
    </xf>
    <xf numFmtId="166" fontId="0" fillId="2" borderId="14" xfId="0" applyNumberFormat="1" applyFill="1" applyBorder="1" applyAlignment="1">
      <alignment horizontal="right"/>
    </xf>
    <xf numFmtId="0" fontId="18" fillId="3" borderId="7" xfId="0" applyFont="1" applyFill="1" applyBorder="1" applyAlignment="1">
      <alignment horizontal="right"/>
    </xf>
    <xf numFmtId="0" fontId="29" fillId="28" borderId="9" xfId="0" applyFont="1" applyFill="1" applyBorder="1"/>
    <xf numFmtId="0" fontId="29" fillId="28" borderId="11" xfId="0" applyFont="1" applyFill="1" applyBorder="1"/>
    <xf numFmtId="165" fontId="0" fillId="26" borderId="7" xfId="0" applyNumberFormat="1" applyFill="1" applyBorder="1"/>
    <xf numFmtId="165" fontId="0" fillId="32" borderId="7" xfId="0" applyNumberFormat="1" applyFill="1" applyBorder="1" applyAlignment="1">
      <alignment horizontal="center"/>
    </xf>
    <xf numFmtId="0" fontId="0" fillId="23" borderId="0" xfId="0" applyFill="1"/>
    <xf numFmtId="0" fontId="0" fillId="23" borderId="55" xfId="0" applyFill="1" applyBorder="1" applyAlignment="1">
      <alignment horizontal="right"/>
    </xf>
    <xf numFmtId="0" fontId="0" fillId="23" borderId="55" xfId="0" applyFill="1" applyBorder="1"/>
    <xf numFmtId="167" fontId="0" fillId="23" borderId="56" xfId="0" applyNumberFormat="1" applyFill="1" applyBorder="1" applyAlignment="1">
      <alignment horizontal="right"/>
    </xf>
    <xf numFmtId="0" fontId="29" fillId="28" borderId="7" xfId="0" applyFont="1" applyFill="1" applyBorder="1" applyAlignment="1">
      <alignment horizontal="right"/>
    </xf>
    <xf numFmtId="0" fontId="0" fillId="23" borderId="7" xfId="0" applyFill="1" applyBorder="1" applyAlignment="1">
      <alignment horizontal="left"/>
    </xf>
    <xf numFmtId="2" fontId="0" fillId="23" borderId="7" xfId="0" applyNumberFormat="1" applyFill="1" applyBorder="1"/>
    <xf numFmtId="0" fontId="29" fillId="24" borderId="9" xfId="0" applyFont="1" applyFill="1" applyBorder="1"/>
    <xf numFmtId="0" fontId="29" fillId="24" borderId="10" xfId="0" applyFont="1" applyFill="1" applyBorder="1"/>
    <xf numFmtId="0" fontId="29" fillId="24" borderId="11" xfId="0" applyFont="1" applyFill="1" applyBorder="1"/>
    <xf numFmtId="0" fontId="29" fillId="28" borderId="8" xfId="0" applyFont="1" applyFill="1" applyBorder="1"/>
    <xf numFmtId="167" fontId="0" fillId="28" borderId="7" xfId="0" applyNumberFormat="1" applyFill="1" applyBorder="1"/>
    <xf numFmtId="0" fontId="29" fillId="27" borderId="7" xfId="0" applyFont="1" applyFill="1" applyBorder="1" applyAlignment="1">
      <alignment horizontal="right"/>
    </xf>
    <xf numFmtId="0" fontId="0" fillId="0" borderId="26" xfId="0" applyFill="1" applyBorder="1"/>
    <xf numFmtId="167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8" borderId="9" xfId="0" applyFont="1" applyFill="1" applyBorder="1"/>
    <xf numFmtId="0" fontId="0" fillId="28" borderId="11" xfId="0" applyFont="1" applyFill="1" applyBorder="1"/>
    <xf numFmtId="0" fontId="0" fillId="23" borderId="11" xfId="0" applyFill="1" applyBorder="1"/>
    <xf numFmtId="2" fontId="10" fillId="5" borderId="1" xfId="0" applyNumberFormat="1" applyFont="1" applyFill="1" applyBorder="1"/>
    <xf numFmtId="0" fontId="18" fillId="27" borderId="34" xfId="0" applyFont="1" applyFill="1" applyBorder="1" applyAlignment="1">
      <alignment horizontal="right"/>
    </xf>
    <xf numFmtId="0" fontId="0" fillId="27" borderId="35" xfId="0" applyFill="1" applyBorder="1" applyAlignment="1">
      <alignment horizontal="center"/>
    </xf>
    <xf numFmtId="2" fontId="24" fillId="13" borderId="7" xfId="0" applyNumberFormat="1" applyFont="1" applyFill="1" applyBorder="1" applyAlignment="1">
      <alignment horizontal="left"/>
    </xf>
    <xf numFmtId="2" fontId="0" fillId="13" borderId="7" xfId="0" applyNumberFormat="1" applyFill="1" applyBorder="1"/>
    <xf numFmtId="165" fontId="0" fillId="7" borderId="7" xfId="0" applyNumberFormat="1" applyFill="1" applyBorder="1" applyAlignment="1">
      <alignment horizontal="center"/>
    </xf>
    <xf numFmtId="0" fontId="0" fillId="17" borderId="27" xfId="0" applyFill="1" applyBorder="1"/>
    <xf numFmtId="0" fontId="0" fillId="2" borderId="10" xfId="0" applyFill="1" applyBorder="1"/>
    <xf numFmtId="0" fontId="0" fillId="11" borderId="7" xfId="0" applyFill="1" applyBorder="1"/>
    <xf numFmtId="0" fontId="15" fillId="13" borderId="7" xfId="0" applyFont="1" applyFill="1" applyBorder="1" applyAlignment="1">
      <alignment horizontal="right"/>
    </xf>
    <xf numFmtId="0" fontId="0" fillId="13" borderId="7" xfId="0" applyFill="1" applyBorder="1"/>
    <xf numFmtId="165" fontId="0" fillId="26" borderId="7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left"/>
    </xf>
    <xf numFmtId="165" fontId="0" fillId="7" borderId="11" xfId="0" applyNumberFormat="1" applyFill="1" applyBorder="1" applyAlignment="1">
      <alignment horizontal="left"/>
    </xf>
    <xf numFmtId="165" fontId="0" fillId="7" borderId="7" xfId="0" applyNumberFormat="1" applyFill="1" applyBorder="1" applyAlignment="1">
      <alignment horizontal="left"/>
    </xf>
    <xf numFmtId="0" fontId="16" fillId="16" borderId="11" xfId="0" applyFont="1" applyFill="1" applyBorder="1" applyAlignment="1">
      <alignment horizontal="left"/>
    </xf>
    <xf numFmtId="0" fontId="29" fillId="8" borderId="18" xfId="0" applyFont="1" applyFill="1" applyBorder="1"/>
    <xf numFmtId="165" fontId="0" fillId="0" borderId="18" xfId="0" applyNumberFormat="1" applyBorder="1"/>
    <xf numFmtId="1" fontId="0" fillId="0" borderId="7" xfId="0" applyNumberFormat="1" applyBorder="1"/>
    <xf numFmtId="0" fontId="18" fillId="3" borderId="7" xfId="0" applyFont="1" applyFill="1" applyBorder="1"/>
    <xf numFmtId="2" fontId="0" fillId="0" borderId="7" xfId="0" applyNumberFormat="1" applyBorder="1"/>
    <xf numFmtId="2" fontId="0" fillId="0" borderId="7" xfId="0" applyNumberFormat="1" applyBorder="1"/>
    <xf numFmtId="167" fontId="0" fillId="0" borderId="7" xfId="0" applyNumberFormat="1" applyBorder="1"/>
    <xf numFmtId="167" fontId="0" fillId="0" borderId="7" xfId="0" applyNumberFormat="1" applyFill="1" applyBorder="1"/>
    <xf numFmtId="0" fontId="0" fillId="0" borderId="7" xfId="0" applyFill="1" applyBorder="1"/>
    <xf numFmtId="49" fontId="18" fillId="0" borderId="7" xfId="0" applyNumberFormat="1" applyFont="1" applyBorder="1"/>
    <xf numFmtId="1" fontId="0" fillId="4" borderId="0" xfId="0" applyNumberForma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0" fontId="29" fillId="0" borderId="0" xfId="0" applyFont="1" applyBorder="1"/>
    <xf numFmtId="165" fontId="15" fillId="4" borderId="7" xfId="0" applyNumberFormat="1" applyFont="1" applyFill="1" applyBorder="1" applyAlignment="1">
      <alignment horizontal="center"/>
    </xf>
    <xf numFmtId="166" fontId="0" fillId="4" borderId="7" xfId="0" applyNumberFormat="1" applyFill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0" fontId="29" fillId="4" borderId="0" xfId="0" applyFont="1" applyFill="1" applyBorder="1" applyAlignment="1">
      <alignment horizontal="center"/>
    </xf>
    <xf numFmtId="2" fontId="24" fillId="4" borderId="0" xfId="0" applyNumberFormat="1" applyFont="1" applyFill="1" applyBorder="1" applyAlignment="1">
      <alignment horizontal="left"/>
    </xf>
    <xf numFmtId="2" fontId="24" fillId="13" borderId="10" xfId="0" applyNumberFormat="1" applyFont="1" applyFill="1" applyBorder="1" applyAlignment="1">
      <alignment horizontal="left"/>
    </xf>
    <xf numFmtId="166" fontId="33" fillId="13" borderId="7" xfId="0" applyNumberFormat="1" applyFont="1" applyFill="1" applyBorder="1" applyAlignment="1">
      <alignment horizontal="left"/>
    </xf>
    <xf numFmtId="14" fontId="0" fillId="6" borderId="4" xfId="0" applyNumberFormat="1" applyFill="1" applyBorder="1" applyAlignment="1">
      <alignment horizontal="right"/>
    </xf>
    <xf numFmtId="0" fontId="0" fillId="6" borderId="6" xfId="0" applyFill="1" applyBorder="1"/>
    <xf numFmtId="165" fontId="0" fillId="0" borderId="8" xfId="0" applyNumberFormat="1" applyBorder="1"/>
    <xf numFmtId="165" fontId="0" fillId="0" borderId="8" xfId="0" applyNumberFormat="1" applyFill="1" applyBorder="1"/>
    <xf numFmtId="0" fontId="0" fillId="3" borderId="4" xfId="0" applyFill="1" applyBorder="1"/>
    <xf numFmtId="0" fontId="0" fillId="18" borderId="1" xfId="0" applyFill="1" applyBorder="1"/>
    <xf numFmtId="0" fontId="10" fillId="18" borderId="1" xfId="0" applyFont="1" applyFill="1" applyBorder="1" applyAlignment="1">
      <alignment horizontal="center"/>
    </xf>
    <xf numFmtId="0" fontId="10" fillId="18" borderId="3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2" fillId="12" borderId="60" xfId="0" applyNumberFormat="1" applyFont="1" applyFill="1" applyBorder="1"/>
    <xf numFmtId="0" fontId="23" fillId="11" borderId="58" xfId="0" applyFont="1" applyFill="1" applyBorder="1" applyAlignment="1">
      <alignment horizontal="right"/>
    </xf>
    <xf numFmtId="2" fontId="23" fillId="11" borderId="59" xfId="0" applyNumberFormat="1" applyFont="1" applyFill="1" applyBorder="1" applyAlignment="1">
      <alignment horizontal="left"/>
    </xf>
    <xf numFmtId="1" fontId="21" fillId="26" borderId="7" xfId="0" applyNumberFormat="1" applyFont="1" applyFill="1" applyBorder="1" applyAlignment="1">
      <alignment horizontal="center"/>
    </xf>
    <xf numFmtId="1" fontId="22" fillId="15" borderId="7" xfId="0" applyNumberFormat="1" applyFont="1" applyFill="1" applyBorder="1" applyAlignment="1">
      <alignment horizontal="center"/>
    </xf>
    <xf numFmtId="1" fontId="22" fillId="15" borderId="11" xfId="0" applyNumberFormat="1" applyFont="1" applyFill="1" applyBorder="1" applyAlignment="1">
      <alignment horizontal="center"/>
    </xf>
    <xf numFmtId="2" fontId="24" fillId="7" borderId="7" xfId="0" applyNumberFormat="1" applyFont="1" applyFill="1" applyBorder="1" applyAlignment="1">
      <alignment horizontal="center"/>
    </xf>
    <xf numFmtId="2" fontId="24" fillId="7" borderId="7" xfId="2" applyNumberFormat="1" applyFont="1" applyFill="1" applyBorder="1" applyAlignment="1">
      <alignment horizontal="center"/>
    </xf>
    <xf numFmtId="0" fontId="24" fillId="7" borderId="7" xfId="0" applyFont="1" applyFill="1" applyBorder="1" applyAlignment="1">
      <alignment horizontal="center"/>
    </xf>
    <xf numFmtId="2" fontId="25" fillId="7" borderId="7" xfId="0" applyNumberFormat="1" applyFont="1" applyFill="1" applyBorder="1" applyAlignment="1">
      <alignment horizontal="center"/>
    </xf>
    <xf numFmtId="166" fontId="24" fillId="7" borderId="7" xfId="0" applyNumberFormat="1" applyFont="1" applyFill="1" applyBorder="1" applyAlignment="1">
      <alignment horizontal="center"/>
    </xf>
    <xf numFmtId="165" fontId="21" fillId="4" borderId="7" xfId="0" applyNumberFormat="1" applyFont="1" applyFill="1" applyBorder="1" applyAlignment="1">
      <alignment horizontal="center"/>
    </xf>
    <xf numFmtId="165" fontId="0" fillId="0" borderId="57" xfId="0" applyNumberFormat="1" applyBorder="1" applyAlignment="1">
      <alignment horizontal="center"/>
    </xf>
    <xf numFmtId="165" fontId="0" fillId="0" borderId="57" xfId="0" applyNumberFormat="1" applyBorder="1" applyAlignment="1">
      <alignment horizontal="center"/>
    </xf>
    <xf numFmtId="49" fontId="0" fillId="4" borderId="8" xfId="0" applyNumberFormat="1" applyFont="1" applyFill="1" applyBorder="1"/>
    <xf numFmtId="0" fontId="0" fillId="31" borderId="7" xfId="0" applyFont="1" applyFill="1" applyBorder="1"/>
    <xf numFmtId="0" fontId="0" fillId="3" borderId="57" xfId="0" applyFill="1" applyBorder="1" applyAlignment="1">
      <alignment horizontal="right"/>
    </xf>
    <xf numFmtId="0" fontId="0" fillId="0" borderId="0" xfId="0" applyBorder="1" applyAlignment="1">
      <alignment horizontal="right"/>
    </xf>
    <xf numFmtId="0" fontId="12" fillId="2" borderId="57" xfId="0" applyFont="1" applyFill="1" applyBorder="1" applyAlignment="1">
      <alignment horizontal="right"/>
    </xf>
    <xf numFmtId="0" fontId="14" fillId="8" borderId="7" xfId="0" applyFont="1" applyFill="1" applyBorder="1" applyAlignment="1">
      <alignment horizontal="center"/>
    </xf>
    <xf numFmtId="166" fontId="0" fillId="0" borderId="57" xfId="0" applyNumberFormat="1" applyFill="1" applyBorder="1"/>
    <xf numFmtId="166" fontId="0" fillId="0" borderId="57" xfId="0" applyNumberFormat="1" applyBorder="1"/>
    <xf numFmtId="166" fontId="0" fillId="25" borderId="57" xfId="0" applyNumberFormat="1" applyFill="1" applyBorder="1"/>
    <xf numFmtId="166" fontId="0" fillId="23" borderId="57" xfId="0" applyNumberFormat="1" applyFill="1" applyBorder="1"/>
    <xf numFmtId="165" fontId="0" fillId="25" borderId="57" xfId="0" applyNumberFormat="1" applyFill="1" applyBorder="1"/>
    <xf numFmtId="0" fontId="0" fillId="0" borderId="57" xfId="0" applyBorder="1"/>
    <xf numFmtId="2" fontId="0" fillId="25" borderId="57" xfId="0" applyNumberFormat="1" applyFill="1" applyBorder="1"/>
    <xf numFmtId="167" fontId="0" fillId="0" borderId="57" xfId="0" applyNumberFormat="1" applyBorder="1"/>
    <xf numFmtId="166" fontId="0" fillId="23" borderId="7" xfId="0" applyNumberFormat="1" applyFill="1" applyBorder="1"/>
    <xf numFmtId="0" fontId="0" fillId="0" borderId="58" xfId="0" applyBorder="1"/>
    <xf numFmtId="166" fontId="0" fillId="0" borderId="59" xfId="0" applyNumberFormat="1" applyFill="1" applyBorder="1"/>
    <xf numFmtId="166" fontId="0" fillId="0" borderId="27" xfId="0" applyNumberFormat="1" applyFill="1" applyBorder="1"/>
    <xf numFmtId="166" fontId="0" fillId="4" borderId="27" xfId="0" applyNumberFormat="1" applyFill="1" applyBorder="1"/>
    <xf numFmtId="166" fontId="0" fillId="8" borderId="27" xfId="0" applyNumberFormat="1" applyFill="1" applyBorder="1"/>
    <xf numFmtId="167" fontId="0" fillId="23" borderId="57" xfId="0" applyNumberFormat="1" applyFill="1" applyBorder="1"/>
    <xf numFmtId="167" fontId="0" fillId="25" borderId="57" xfId="0" applyNumberFormat="1" applyFill="1" applyBorder="1"/>
    <xf numFmtId="0" fontId="0" fillId="0" borderId="57" xfId="0" applyFill="1" applyBorder="1"/>
    <xf numFmtId="2" fontId="0" fillId="0" borderId="57" xfId="0" applyNumberFormat="1" applyBorder="1"/>
    <xf numFmtId="165" fontId="21" fillId="4" borderId="57" xfId="0" applyNumberFormat="1" applyFont="1" applyFill="1" applyBorder="1" applyAlignment="1">
      <alignment horizontal="center"/>
    </xf>
    <xf numFmtId="0" fontId="1" fillId="33" borderId="57" xfId="0" applyFont="1" applyFill="1" applyBorder="1" applyAlignment="1">
      <alignment horizontal="right"/>
    </xf>
    <xf numFmtId="0" fontId="34" fillId="34" borderId="58" xfId="1" applyFont="1" applyFill="1" applyBorder="1" applyAlignment="1" applyProtection="1"/>
    <xf numFmtId="0" fontId="34" fillId="34" borderId="27" xfId="1" applyFont="1" applyFill="1" applyBorder="1" applyAlignment="1" applyProtection="1"/>
    <xf numFmtId="0" fontId="34" fillId="34" borderId="59" xfId="1" applyFont="1" applyFill="1" applyBorder="1" applyAlignment="1" applyProtection="1"/>
    <xf numFmtId="0" fontId="24" fillId="0" borderId="0" xfId="0" applyFont="1"/>
    <xf numFmtId="0" fontId="34" fillId="6" borderId="16" xfId="1" applyFont="1" applyFill="1" applyBorder="1" applyAlignment="1" applyProtection="1">
      <alignment horizontal="right"/>
    </xf>
    <xf numFmtId="0" fontId="34" fillId="6" borderId="17" xfId="1" applyFont="1" applyFill="1" applyBorder="1" applyAlignment="1" applyProtection="1">
      <alignment horizontal="left"/>
    </xf>
    <xf numFmtId="0" fontId="27" fillId="6" borderId="28" xfId="0" applyFont="1" applyFill="1" applyBorder="1" applyAlignment="1">
      <alignment horizontal="right"/>
    </xf>
    <xf numFmtId="0" fontId="0" fillId="11" borderId="57" xfId="0" applyFill="1" applyBorder="1" applyAlignment="1">
      <alignment horizontal="right"/>
    </xf>
    <xf numFmtId="0" fontId="18" fillId="0" borderId="0" xfId="0" applyFont="1" applyAlignment="1">
      <alignment horizontal="right"/>
    </xf>
    <xf numFmtId="0" fontId="18" fillId="17" borderId="20" xfId="0" applyFont="1" applyFill="1" applyBorder="1" applyAlignment="1">
      <alignment horizontal="right"/>
    </xf>
    <xf numFmtId="2" fontId="0" fillId="0" borderId="57" xfId="0" applyNumberFormat="1" applyFont="1" applyBorder="1" applyAlignment="1">
      <alignment horizontal="left"/>
    </xf>
    <xf numFmtId="0" fontId="1" fillId="20" borderId="57" xfId="0" applyFont="1" applyFill="1" applyBorder="1" applyAlignment="1">
      <alignment horizontal="right"/>
    </xf>
    <xf numFmtId="165" fontId="0" fillId="0" borderId="57" xfId="0" applyNumberFormat="1" applyBorder="1" applyAlignment="1">
      <alignment horizontal="left"/>
    </xf>
    <xf numFmtId="165" fontId="0" fillId="0" borderId="57" xfId="0" applyNumberFormat="1" applyFont="1" applyBorder="1" applyAlignment="1">
      <alignment horizontal="left"/>
    </xf>
    <xf numFmtId="2" fontId="0" fillId="0" borderId="57" xfId="0" applyNumberFormat="1" applyBorder="1" applyAlignment="1">
      <alignment horizontal="left"/>
    </xf>
    <xf numFmtId="0" fontId="0" fillId="0" borderId="57" xfId="0" applyNumberFormat="1" applyFont="1" applyBorder="1" applyAlignment="1">
      <alignment horizontal="left"/>
    </xf>
    <xf numFmtId="0" fontId="21" fillId="12" borderId="57" xfId="0" applyFont="1" applyFill="1" applyBorder="1" applyAlignment="1">
      <alignment horizontal="right"/>
    </xf>
    <xf numFmtId="165" fontId="21" fillId="0" borderId="57" xfId="0" applyNumberFormat="1" applyFont="1" applyBorder="1" applyAlignment="1">
      <alignment horizontal="center"/>
    </xf>
    <xf numFmtId="49" fontId="0" fillId="0" borderId="18" xfId="0" applyNumberFormat="1" applyFont="1" applyBorder="1"/>
    <xf numFmtId="49" fontId="0" fillId="23" borderId="57" xfId="0" applyNumberFormat="1" applyFont="1" applyFill="1" applyBorder="1" applyAlignment="1">
      <alignment horizontal="left"/>
    </xf>
    <xf numFmtId="0" fontId="0" fillId="23" borderId="57" xfId="0" applyFont="1" applyFill="1" applyBorder="1" applyAlignment="1">
      <alignment horizontal="left"/>
    </xf>
    <xf numFmtId="0" fontId="21" fillId="23" borderId="0" xfId="0" applyFont="1" applyFill="1" applyBorder="1" applyAlignment="1">
      <alignment horizontal="right"/>
    </xf>
    <xf numFmtId="0" fontId="24" fillId="23" borderId="0" xfId="0" applyFont="1" applyFill="1" applyBorder="1" applyAlignment="1">
      <alignment horizontal="center"/>
    </xf>
    <xf numFmtId="0" fontId="1" fillId="26" borderId="59" xfId="0" applyFont="1" applyFill="1" applyBorder="1"/>
    <xf numFmtId="0" fontId="1" fillId="26" borderId="58" xfId="0" applyFont="1" applyFill="1" applyBorder="1" applyAlignment="1">
      <alignment horizontal="right"/>
    </xf>
    <xf numFmtId="0" fontId="22" fillId="26" borderId="58" xfId="0" applyFont="1" applyFill="1" applyBorder="1" applyAlignment="1">
      <alignment horizontal="right"/>
    </xf>
    <xf numFmtId="0" fontId="22" fillId="26" borderId="59" xfId="0" applyFont="1" applyFill="1" applyBorder="1"/>
    <xf numFmtId="165" fontId="0" fillId="0" borderId="57" xfId="0" applyNumberFormat="1" applyBorder="1"/>
    <xf numFmtId="0" fontId="1" fillId="20" borderId="57" xfId="0" applyFont="1" applyFill="1" applyBorder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lang="es-PY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030183727034"/>
          <c:y val="0.0555555555555555"/>
          <c:w val="0.800823749582327"/>
          <c:h val="0.898148148148148"/>
        </c:manualLayout>
      </c:layout>
      <c:areaChart>
        <c:grouping val="standard"/>
        <c:varyColors val="0"/>
        <c:ser>
          <c:idx val="0"/>
          <c:order val="0"/>
          <c:tx>
            <c:v>Diffuser wave</c:v>
          </c:tx>
          <c:spPr>
            <a:ln w="25400">
              <a:solidFill>
                <a:srgbClr val="666699"/>
              </a:solidFill>
              <a:prstDash val="solid"/>
            </a:ln>
          </c:spPr>
          <c:val>
            <c:numRef>
              <c:f>Sheet3!$D$6:$D$67</c:f>
              <c:numCache>
                <c:formatCode>0.000</c:formatCode>
                <c:ptCount val="62"/>
                <c:pt idx="0">
                  <c:v>-0.0023111035762535</c:v>
                </c:pt>
                <c:pt idx="1">
                  <c:v>-0.0135475173918495</c:v>
                </c:pt>
                <c:pt idx="2">
                  <c:v>-0.0324339199791106</c:v>
                </c:pt>
                <c:pt idx="3">
                  <c:v>-0.056920346062916</c:v>
                </c:pt>
                <c:pt idx="4">
                  <c:v>-0.0844852013413745</c:v>
                </c:pt>
                <c:pt idx="5">
                  <c:v>-0.112420496562265</c:v>
                </c:pt>
                <c:pt idx="6">
                  <c:v>-0.13798505890956</c:v>
                </c:pt>
                <c:pt idx="7">
                  <c:v>-0.158650082962224</c:v>
                </c:pt>
                <c:pt idx="8">
                  <c:v>-0.172325658037579</c:v>
                </c:pt>
                <c:pt idx="9">
                  <c:v>-0.177547979872714</c:v>
                </c:pt>
                <c:pt idx="10">
                  <c:v>-0.175291279047948</c:v>
                </c:pt>
                <c:pt idx="11">
                  <c:v>-0.175490530240667</c:v>
                </c:pt>
                <c:pt idx="12">
                  <c:v>-0.181625250533477</c:v>
                </c:pt>
                <c:pt idx="13">
                  <c:v>-0.18365754256094</c:v>
                </c:pt>
                <c:pt idx="14">
                  <c:v>-0.189246451942111</c:v>
                </c:pt>
                <c:pt idx="15">
                  <c:v>-0.19425446104457</c:v>
                </c:pt>
                <c:pt idx="16">
                  <c:v>-0.197588474898655</c:v>
                </c:pt>
                <c:pt idx="17">
                  <c:v>-0.198335367344686</c:v>
                </c:pt>
                <c:pt idx="18">
                  <c:v>-0.197583933071732</c:v>
                </c:pt>
                <c:pt idx="19">
                  <c:v>-0.199730864411013</c:v>
                </c:pt>
                <c:pt idx="20">
                  <c:v>-0.203491847181533</c:v>
                </c:pt>
                <c:pt idx="21">
                  <c:v>-0.210296677368953</c:v>
                </c:pt>
                <c:pt idx="22">
                  <c:v>-0.214314929851667</c:v>
                </c:pt>
                <c:pt idx="23">
                  <c:v>-0.20491593263746</c:v>
                </c:pt>
                <c:pt idx="24">
                  <c:v>-0.182631857105558</c:v>
                </c:pt>
                <c:pt idx="25">
                  <c:v>-0.149203087750287</c:v>
                </c:pt>
                <c:pt idx="26">
                  <c:v>-0.107361961114241</c:v>
                </c:pt>
                <c:pt idx="27">
                  <c:v>-0.0605943825715499</c:v>
                </c:pt>
                <c:pt idx="28">
                  <c:v>-0.0128936292091613</c:v>
                </c:pt>
                <c:pt idx="29">
                  <c:v>0.0279463154543079</c:v>
                </c:pt>
                <c:pt idx="30">
                  <c:v>0.0578009559726566</c:v>
                </c:pt>
                <c:pt idx="31">
                  <c:v>0.0752026068945906</c:v>
                </c:pt>
                <c:pt idx="32">
                  <c:v>0.0803889210228614</c:v>
                </c:pt>
                <c:pt idx="33">
                  <c:v>0.0801473920257432</c:v>
                </c:pt>
                <c:pt idx="34">
                  <c:v>0.0762531354072287</c:v>
                </c:pt>
                <c:pt idx="35">
                  <c:v>0.0688877170970386</c:v>
                </c:pt>
                <c:pt idx="36">
                  <c:v>0.0585674346736077</c:v>
                </c:pt>
                <c:pt idx="37">
                  <c:v>0.0460732788831518</c:v>
                </c:pt>
                <c:pt idx="38">
                  <c:v>0.0323930561939363</c:v>
                </c:pt>
                <c:pt idx="39">
                  <c:v>0.0193212434971498</c:v>
                </c:pt>
                <c:pt idx="40">
                  <c:v>0.00919296169881712</c:v>
                </c:pt>
                <c:pt idx="41">
                  <c:v>0.00264059740369058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4697064"/>
        <c:axId val="2114694584"/>
      </c:areaChart>
      <c:catAx>
        <c:axId val="211469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lang="es-EC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46945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14694584"/>
        <c:scaling>
          <c:orientation val="minMax"/>
          <c:min val="-0.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0"/>
        <c:majorTickMark val="in"/>
        <c:minorTickMark val="in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lang="es-EC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4697064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4875523955028"/>
          <c:y val="0.361111427683382"/>
          <c:w val="0.109441167468907"/>
          <c:h val="0.092084824624194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C"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lang="es-EC"/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v>Baffle Wave</c:v>
          </c:tx>
          <c:spPr>
            <a:effectLst>
              <a:outerShdw dist="35921" dir="2700000" algn="br">
                <a:srgbClr val="000000"/>
              </a:outerShdw>
            </a:effectLst>
          </c:spPr>
          <c:val>
            <c:numRef>
              <c:f>Sheet3!$D$75:$D$128</c:f>
              <c:numCache>
                <c:formatCode>0.000</c:formatCode>
                <c:ptCount val="54"/>
                <c:pt idx="0">
                  <c:v>0.0</c:v>
                </c:pt>
                <c:pt idx="1">
                  <c:v>0.048133395797096</c:v>
                </c:pt>
                <c:pt idx="2">
                  <c:v>0.121958171253307</c:v>
                </c:pt>
                <c:pt idx="3">
                  <c:v>0.214035352109459</c:v>
                </c:pt>
                <c:pt idx="4">
                  <c:v>0.31539542323386</c:v>
                </c:pt>
                <c:pt idx="5">
                  <c:v>0.416290460147707</c:v>
                </c:pt>
                <c:pt idx="6">
                  <c:v>0.507011533444392</c:v>
                </c:pt>
                <c:pt idx="7">
                  <c:v>0.578702843308198</c:v>
                </c:pt>
                <c:pt idx="8">
                  <c:v>0.624104315532721</c:v>
                </c:pt>
                <c:pt idx="9">
                  <c:v>0.638160389243203</c:v>
                </c:pt>
                <c:pt idx="10">
                  <c:v>0.618443946914669</c:v>
                </c:pt>
                <c:pt idx="11">
                  <c:v>0.583503197621615</c:v>
                </c:pt>
                <c:pt idx="12">
                  <c:v>0.542529488849482</c:v>
                </c:pt>
                <c:pt idx="13">
                  <c:v>0.495658285925332</c:v>
                </c:pt>
                <c:pt idx="14">
                  <c:v>0.446507707549266</c:v>
                </c:pt>
                <c:pt idx="15">
                  <c:v>0.39586232255898</c:v>
                </c:pt>
                <c:pt idx="16">
                  <c:v>0.345682950833748</c:v>
                </c:pt>
                <c:pt idx="17">
                  <c:v>0.297891335082813</c:v>
                </c:pt>
                <c:pt idx="18">
                  <c:v>0.25420899464583</c:v>
                </c:pt>
                <c:pt idx="19">
                  <c:v>0.216012868864005</c:v>
                </c:pt>
                <c:pt idx="20">
                  <c:v>0.184219854931707</c:v>
                </c:pt>
                <c:pt idx="21">
                  <c:v>0.149076575731167</c:v>
                </c:pt>
                <c:pt idx="22">
                  <c:v>0.11086203973913</c:v>
                </c:pt>
                <c:pt idx="23">
                  <c:v>0.071164736271264</c:v>
                </c:pt>
                <c:pt idx="24">
                  <c:v>0.032534943694403</c:v>
                </c:pt>
                <c:pt idx="25">
                  <c:v>-0.00256657489752337</c:v>
                </c:pt>
                <c:pt idx="26">
                  <c:v>-0.0319749170067674</c:v>
                </c:pt>
                <c:pt idx="27">
                  <c:v>-0.0540025769011177</c:v>
                </c:pt>
                <c:pt idx="28">
                  <c:v>-0.0675809500588836</c:v>
                </c:pt>
                <c:pt idx="29">
                  <c:v>-0.0723499401473279</c:v>
                </c:pt>
                <c:pt idx="30">
                  <c:v>-0.0686881546129577</c:v>
                </c:pt>
                <c:pt idx="31">
                  <c:v>-0.0615008114352539</c:v>
                </c:pt>
                <c:pt idx="32">
                  <c:v>-0.0531847238738299</c:v>
                </c:pt>
                <c:pt idx="33">
                  <c:v>-0.0439619983828841</c:v>
                </c:pt>
                <c:pt idx="34">
                  <c:v>-0.0347913516449045</c:v>
                </c:pt>
                <c:pt idx="35">
                  <c:v>-0.0259299871338091</c:v>
                </c:pt>
                <c:pt idx="36">
                  <c:v>-0.01786192306791</c:v>
                </c:pt>
                <c:pt idx="37">
                  <c:v>-0.0110046560904745</c:v>
                </c:pt>
                <c:pt idx="38">
                  <c:v>-0.00567415242225227</c:v>
                </c:pt>
                <c:pt idx="39">
                  <c:v>-0.00205835276646797</c:v>
                </c:pt>
                <c:pt idx="40">
                  <c:v>-0.000201412691302437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4648264"/>
        <c:axId val="2114640504"/>
      </c:areaChart>
      <c:catAx>
        <c:axId val="2114648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/>
          <a:lstStyle/>
          <a:p>
            <a:pPr>
              <a:defRPr lang="es-EC"/>
            </a:pPr>
            <a:endParaRPr lang="en-US"/>
          </a:p>
        </c:txPr>
        <c:crossAx val="21146405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14640504"/>
        <c:scaling>
          <c:orientation val="minMax"/>
          <c:max val="0.8"/>
          <c:min val="-0.2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lang="es-EC"/>
            </a:pPr>
            <a:endParaRPr lang="en-US"/>
          </a:p>
        </c:txPr>
        <c:crossAx val="2114648264"/>
        <c:crosses val="autoZero"/>
        <c:crossBetween val="midCat"/>
        <c:majorUnit val="0.1"/>
      </c:valAx>
      <c:spPr>
        <a:solidFill>
          <a:srgbClr val="FFFFFF"/>
        </a:solidFill>
        <a:ln w="25400">
          <a:noFill/>
        </a:ln>
        <a:effectLst>
          <a:outerShdw blurRad="50800" dist="38100" dir="2700000" algn="tl" rotWithShape="0">
            <a:scrgbClr r="0" g="0" b="0">
              <a:alpha val="43000"/>
            </a:scrgbClr>
          </a:outerShdw>
        </a:effectLst>
      </c:spPr>
    </c:plotArea>
    <c:legend>
      <c:legendPos val="r"/>
      <c:layout/>
      <c:overlay val="0"/>
      <c:spPr>
        <a:noFill/>
        <a:ln w="25400">
          <a:noFill/>
        </a:ln>
      </c:spPr>
      <c:txPr>
        <a:bodyPr/>
        <a:lstStyle/>
        <a:p>
          <a:pPr>
            <a:defRPr lang="es-EC"/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684773780841226"/>
          <c:y val="0.0398001777151522"/>
          <c:w val="0.910777504040155"/>
          <c:h val="0.920399644569696"/>
        </c:manualLayout>
      </c:layout>
      <c:areaChart>
        <c:grouping val="standard"/>
        <c:varyColors val="0"/>
        <c:ser>
          <c:idx val="0"/>
          <c:order val="0"/>
          <c:tx>
            <c:v>combined wave</c:v>
          </c:tx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val>
            <c:numRef>
              <c:f>Sheet3!$D$133:$D$207</c:f>
              <c:numCache>
                <c:formatCode>0.000</c:formatCode>
                <c:ptCount val="75"/>
                <c:pt idx="0">
                  <c:v>-0.0023111035762535</c:v>
                </c:pt>
                <c:pt idx="1">
                  <c:v>-0.0135475173918495</c:v>
                </c:pt>
                <c:pt idx="2">
                  <c:v>-0.0324339199791106</c:v>
                </c:pt>
                <c:pt idx="3">
                  <c:v>-0.056920346062916</c:v>
                </c:pt>
                <c:pt idx="4">
                  <c:v>-0.0844852013413745</c:v>
                </c:pt>
                <c:pt idx="5">
                  <c:v>-0.112420496562265</c:v>
                </c:pt>
                <c:pt idx="6">
                  <c:v>-0.13798505890956</c:v>
                </c:pt>
                <c:pt idx="7">
                  <c:v>-0.158650082962224</c:v>
                </c:pt>
                <c:pt idx="8">
                  <c:v>-0.172325658037579</c:v>
                </c:pt>
                <c:pt idx="9">
                  <c:v>-0.177547979872714</c:v>
                </c:pt>
                <c:pt idx="10">
                  <c:v>-0.175291279047948</c:v>
                </c:pt>
                <c:pt idx="11">
                  <c:v>-0.175490530240667</c:v>
                </c:pt>
                <c:pt idx="12">
                  <c:v>-0.181625250533477</c:v>
                </c:pt>
                <c:pt idx="13">
                  <c:v>-0.18365754256094</c:v>
                </c:pt>
                <c:pt idx="14">
                  <c:v>-0.189246451942111</c:v>
                </c:pt>
                <c:pt idx="15">
                  <c:v>-0.19425446104457</c:v>
                </c:pt>
                <c:pt idx="16">
                  <c:v>-0.197588474898655</c:v>
                </c:pt>
                <c:pt idx="17">
                  <c:v>-0.198335367344686</c:v>
                </c:pt>
                <c:pt idx="18">
                  <c:v>-0.197583933071732</c:v>
                </c:pt>
                <c:pt idx="19">
                  <c:v>-0.199730864411013</c:v>
                </c:pt>
                <c:pt idx="20">
                  <c:v>-0.203491847181533</c:v>
                </c:pt>
                <c:pt idx="21">
                  <c:v>-0.210296677368953</c:v>
                </c:pt>
                <c:pt idx="22">
                  <c:v>-0.214314929851667</c:v>
                </c:pt>
                <c:pt idx="23">
                  <c:v>-0.20491593263746</c:v>
                </c:pt>
                <c:pt idx="24">
                  <c:v>-0.182631857105558</c:v>
                </c:pt>
                <c:pt idx="25">
                  <c:v>-0.149203087750287</c:v>
                </c:pt>
                <c:pt idx="26">
                  <c:v>-0.107361961114241</c:v>
                </c:pt>
                <c:pt idx="27">
                  <c:v>-0.0605943825715499</c:v>
                </c:pt>
                <c:pt idx="28">
                  <c:v>0.0352397665879348</c:v>
                </c:pt>
                <c:pt idx="29">
                  <c:v>0.149904486707615</c:v>
                </c:pt>
                <c:pt idx="30">
                  <c:v>0.271836308082116</c:v>
                </c:pt>
                <c:pt idx="31">
                  <c:v>0.390598030128451</c:v>
                </c:pt>
                <c:pt idx="32">
                  <c:v>0.496679381170568</c:v>
                </c:pt>
                <c:pt idx="33">
                  <c:v>0.587158925470136</c:v>
                </c:pt>
                <c:pt idx="34">
                  <c:v>0.654955978715426</c:v>
                </c:pt>
                <c:pt idx="35">
                  <c:v>0.692992032629759</c:v>
                </c:pt>
                <c:pt idx="36">
                  <c:v>0.696727823916811</c:v>
                </c:pt>
                <c:pt idx="37">
                  <c:v>0.664517225797821</c:v>
                </c:pt>
                <c:pt idx="38">
                  <c:v>0.615896253815551</c:v>
                </c:pt>
                <c:pt idx="39">
                  <c:v>0.561850732346632</c:v>
                </c:pt>
                <c:pt idx="40">
                  <c:v>0.504851247624149</c:v>
                </c:pt>
                <c:pt idx="41">
                  <c:v>0.449148304952957</c:v>
                </c:pt>
                <c:pt idx="42">
                  <c:v>0.39586232255898</c:v>
                </c:pt>
                <c:pt idx="43">
                  <c:v>0.345682950833748</c:v>
                </c:pt>
                <c:pt idx="44">
                  <c:v>0.297891335082813</c:v>
                </c:pt>
                <c:pt idx="45">
                  <c:v>0.25420899464583</c:v>
                </c:pt>
                <c:pt idx="46">
                  <c:v>0.216012868864005</c:v>
                </c:pt>
                <c:pt idx="47">
                  <c:v>0.184219854931707</c:v>
                </c:pt>
                <c:pt idx="48">
                  <c:v>0.149076575731167</c:v>
                </c:pt>
                <c:pt idx="49">
                  <c:v>0.11086203973913</c:v>
                </c:pt>
                <c:pt idx="50">
                  <c:v>0.071164736271264</c:v>
                </c:pt>
                <c:pt idx="51">
                  <c:v>0.032534943694403</c:v>
                </c:pt>
                <c:pt idx="52">
                  <c:v>-0.00256657489752337</c:v>
                </c:pt>
                <c:pt idx="53">
                  <c:v>-0.0319749170067674</c:v>
                </c:pt>
                <c:pt idx="54">
                  <c:v>-0.0540025769011177</c:v>
                </c:pt>
                <c:pt idx="55">
                  <c:v>-0.0675809500588836</c:v>
                </c:pt>
                <c:pt idx="56">
                  <c:v>-0.0723499401473279</c:v>
                </c:pt>
                <c:pt idx="57">
                  <c:v>-0.0686881546129577</c:v>
                </c:pt>
                <c:pt idx="58">
                  <c:v>-0.0615008114352539</c:v>
                </c:pt>
                <c:pt idx="59">
                  <c:v>-0.0531847238738299</c:v>
                </c:pt>
                <c:pt idx="60">
                  <c:v>-0.0439619983828841</c:v>
                </c:pt>
                <c:pt idx="61">
                  <c:v>-0.0347913516449045</c:v>
                </c:pt>
                <c:pt idx="62">
                  <c:v>-0.0259299871338091</c:v>
                </c:pt>
                <c:pt idx="63">
                  <c:v>-0.01786192306791</c:v>
                </c:pt>
                <c:pt idx="64">
                  <c:v>-0.0110046560904745</c:v>
                </c:pt>
                <c:pt idx="65">
                  <c:v>-0.00567415242225227</c:v>
                </c:pt>
                <c:pt idx="66">
                  <c:v>-0.00205835276646797</c:v>
                </c:pt>
                <c:pt idx="67">
                  <c:v>-0.000201412691302437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</c:numCache>
            </c:numRef>
          </c:val>
        </c:ser>
        <c:ser>
          <c:idx val="1"/>
          <c:order val="1"/>
          <c:tx>
            <c:v>BDC</c:v>
          </c:tx>
          <c:spPr>
            <a:ln w="25400">
              <a:noFill/>
            </a:ln>
          </c:spPr>
          <c:errBars>
            <c:errDir val="y"/>
            <c:errBarType val="minus"/>
            <c:errValType val="percentage"/>
            <c:noEndCap val="0"/>
            <c:val val="100.0"/>
          </c:errBars>
          <c:val>
            <c:numRef>
              <c:f>Sheet3!$O$133:$O$181</c:f>
              <c:numCache>
                <c:formatCode>General</c:formatCode>
                <c:ptCount val="49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0.6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</c:numCache>
            </c:numRef>
          </c:val>
        </c:ser>
        <c:ser>
          <c:idx val="2"/>
          <c:order val="2"/>
          <c:tx>
            <c:v>transfers closing</c:v>
          </c:tx>
          <c:spPr>
            <a:ln w="25400">
              <a:noFill/>
            </a:ln>
          </c:spPr>
          <c:errBars>
            <c:errDir val="y"/>
            <c:errBarType val="minus"/>
            <c:errValType val="percentage"/>
            <c:noEndCap val="0"/>
            <c:val val="100.0"/>
          </c:errBars>
          <c:val>
            <c:numRef>
              <c:f>Sheet3!$P$133:$P$207</c:f>
              <c:numCache>
                <c:formatCode>General</c:formatCode>
                <c:ptCount val="7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0.6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</c:numCache>
            </c:numRef>
          </c:val>
        </c:ser>
        <c:ser>
          <c:idx val="3"/>
          <c:order val="3"/>
          <c:tx>
            <c:v>exhaust closing</c:v>
          </c:tx>
          <c:spPr>
            <a:ln w="25400">
              <a:noFill/>
            </a:ln>
          </c:spPr>
          <c:errBars>
            <c:errDir val="y"/>
            <c:errBarType val="minus"/>
            <c:errValType val="percentage"/>
            <c:noEndCap val="0"/>
            <c:val val="100.0"/>
          </c:errBars>
          <c:val>
            <c:numRef>
              <c:f>Sheet3!$R$133:$R$207</c:f>
              <c:numCache>
                <c:formatCode>General</c:formatCode>
                <c:ptCount val="7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0.6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4575112"/>
        <c:axId val="2114571096"/>
      </c:areaChart>
      <c:catAx>
        <c:axId val="2114575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/>
          <a:lstStyle/>
          <a:p>
            <a:pPr>
              <a:defRPr lang="es-EC"/>
            </a:pPr>
            <a:endParaRPr lang="en-US"/>
          </a:p>
        </c:txPr>
        <c:crossAx val="21145710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14571096"/>
        <c:scaling>
          <c:orientation val="minMax"/>
          <c:max val="0.8"/>
          <c:min val="-0.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lang="es-EC"/>
            </a:pPr>
            <a:endParaRPr lang="en-US"/>
          </a:p>
        </c:txPr>
        <c:crossAx val="2114575112"/>
        <c:crosses val="autoZero"/>
        <c:crossBetween val="midCat"/>
        <c:majorUnit val="0.1"/>
      </c:valAx>
      <c:spPr>
        <a:solidFill>
          <a:srgbClr val="FFFFFF"/>
        </a:solidFill>
        <a:ln w="25400">
          <a:noFill/>
        </a:ln>
      </c:spPr>
    </c:plotArea>
    <c:legend>
      <c:legendPos val="r"/>
      <c:layout/>
      <c:overlay val="0"/>
      <c:spPr>
        <a:noFill/>
        <a:ln w="25400">
          <a:noFill/>
        </a:ln>
      </c:spPr>
      <c:txPr>
        <a:bodyPr/>
        <a:lstStyle/>
        <a:p>
          <a:pPr>
            <a:defRPr lang="es-EC"/>
          </a:pPr>
          <a:endParaRPr lang="en-US"/>
        </a:p>
      </c:txPr>
    </c:legend>
    <c:plotVisOnly val="1"/>
    <c:dispBlanksAs val="zero"/>
    <c:showDLblsOverMax val="0"/>
  </c:chart>
  <c:spPr>
    <a:scene3d>
      <a:camera prst="orthographicFront"/>
      <a:lightRig rig="threePt" dir="t">
        <a:rot lat="0" lon="0" rev="21000000"/>
      </a:lightRig>
    </a:scene3d>
    <a:sp3d prstMaterial="metal"/>
  </c:sp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Torque</c:v>
          </c:tx>
          <c:spPr>
            <a:effectLst>
              <a:outerShdw dist="25400" dir="16200000" algn="tl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Sheet3!$F$161:$L$161</c:f>
              <c:numCache>
                <c:formatCode>0</c:formatCode>
                <c:ptCount val="7"/>
                <c:pt idx="0">
                  <c:v>7500.0</c:v>
                </c:pt>
                <c:pt idx="1">
                  <c:v>8000.0</c:v>
                </c:pt>
                <c:pt idx="2">
                  <c:v>8500.0</c:v>
                </c:pt>
                <c:pt idx="3">
                  <c:v>9000.0</c:v>
                </c:pt>
                <c:pt idx="4">
                  <c:v>9500.0</c:v>
                </c:pt>
                <c:pt idx="5">
                  <c:v>10000.0</c:v>
                </c:pt>
                <c:pt idx="6">
                  <c:v>10500.0</c:v>
                </c:pt>
              </c:numCache>
            </c:numRef>
          </c:cat>
          <c:val>
            <c:numRef>
              <c:f>Sheet3!$F$167:$L$167</c:f>
              <c:numCache>
                <c:formatCode>0.0</c:formatCode>
                <c:ptCount val="7"/>
                <c:pt idx="0">
                  <c:v>1.9798</c:v>
                </c:pt>
                <c:pt idx="1">
                  <c:v>3.13</c:v>
                </c:pt>
                <c:pt idx="2">
                  <c:v>4.1684</c:v>
                </c:pt>
                <c:pt idx="3">
                  <c:v>5.08</c:v>
                </c:pt>
                <c:pt idx="4">
                  <c:v>4.8558</c:v>
                </c:pt>
                <c:pt idx="5">
                  <c:v>3.1932</c:v>
                </c:pt>
                <c:pt idx="6">
                  <c:v>1.6682</c:v>
                </c:pt>
              </c:numCache>
            </c:numRef>
          </c:val>
          <c:smooth val="0"/>
        </c:ser>
        <c:ser>
          <c:idx val="1"/>
          <c:order val="1"/>
          <c:tx>
            <c:v>Eport boost</c:v>
          </c:tx>
          <c:marker>
            <c:symbol val="none"/>
          </c:marker>
          <c:val>
            <c:numRef>
              <c:f>Sheet3!$F$189:$L$189</c:f>
              <c:numCache>
                <c:formatCode>0.0</c:formatCode>
                <c:ptCount val="7"/>
                <c:pt idx="0">
                  <c:v>2.7</c:v>
                </c:pt>
                <c:pt idx="1">
                  <c:v>3.26</c:v>
                </c:pt>
                <c:pt idx="2">
                  <c:v>3.56</c:v>
                </c:pt>
                <c:pt idx="3">
                  <c:v>4.04</c:v>
                </c:pt>
                <c:pt idx="4">
                  <c:v>3.6</c:v>
                </c:pt>
                <c:pt idx="5">
                  <c:v>1.94</c:v>
                </c:pt>
                <c:pt idx="6">
                  <c:v>0.48</c:v>
                </c:pt>
              </c:numCache>
            </c:numRef>
          </c:val>
          <c:smooth val="0"/>
        </c:ser>
        <c:ser>
          <c:idx val="2"/>
          <c:order val="2"/>
          <c:tx>
            <c:v>Tport boost</c:v>
          </c:tx>
          <c:marker>
            <c:symbol val="none"/>
          </c:marker>
          <c:val>
            <c:numRef>
              <c:f>Sheet3!$F$190:$L$190</c:f>
              <c:numCache>
                <c:formatCode>0.0</c:formatCode>
                <c:ptCount val="7"/>
                <c:pt idx="0">
                  <c:v>-0.7202</c:v>
                </c:pt>
                <c:pt idx="1">
                  <c:v>-0.13</c:v>
                </c:pt>
                <c:pt idx="2">
                  <c:v>0.6084</c:v>
                </c:pt>
                <c:pt idx="3">
                  <c:v>1.04</c:v>
                </c:pt>
                <c:pt idx="4">
                  <c:v>1.2558</c:v>
                </c:pt>
                <c:pt idx="5">
                  <c:v>1.2532</c:v>
                </c:pt>
                <c:pt idx="6">
                  <c:v>1.1882</c:v>
                </c:pt>
              </c:numCache>
            </c:numRef>
          </c:val>
          <c:smooth val="0"/>
        </c:ser>
        <c:ser>
          <c:idx val="3"/>
          <c:order val="3"/>
          <c:tx>
            <c:v>horsepower</c:v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Sheet3!$F$168:$L$168</c:f>
              <c:numCache>
                <c:formatCode>0.0</c:formatCode>
                <c:ptCount val="7"/>
                <c:pt idx="0">
                  <c:v>2.827208682406702</c:v>
                </c:pt>
                <c:pt idx="1">
                  <c:v>4.767707539984768</c:v>
                </c:pt>
                <c:pt idx="2">
                  <c:v>6.746268088347296</c:v>
                </c:pt>
                <c:pt idx="3">
                  <c:v>8.705255140898705</c:v>
                </c:pt>
                <c:pt idx="4">
                  <c:v>8.783339680121859</c:v>
                </c:pt>
                <c:pt idx="5">
                  <c:v>6.07996953541508</c:v>
                </c:pt>
                <c:pt idx="6">
                  <c:v>3.33512947448591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4522424"/>
        <c:axId val="2114500504"/>
      </c:lineChart>
      <c:catAx>
        <c:axId val="2114522424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PY"/>
            </a:pPr>
            <a:endParaRPr lang="en-US"/>
          </a:p>
        </c:txPr>
        <c:crossAx val="2114500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1450050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lang="es-PY"/>
            </a:pPr>
            <a:endParaRPr lang="en-US"/>
          </a:p>
        </c:txPr>
        <c:crossAx val="2114522424"/>
        <c:crosses val="autoZero"/>
        <c:crossBetween val="between"/>
      </c:valAx>
      <c:spPr>
        <a:solidFill>
          <a:sysClr val="window" lastClr="FFFFFF"/>
        </a:solidFill>
        <a:ln>
          <a:solidFill>
            <a:srgbClr val="0000FF"/>
          </a:solidFill>
        </a:ln>
      </c:spPr>
    </c:plotArea>
    <c:legend>
      <c:legendPos val="r"/>
      <c:layout/>
      <c:overlay val="0"/>
      <c:txPr>
        <a:bodyPr/>
        <a:lstStyle/>
        <a:p>
          <a:pPr>
            <a:defRPr lang="es-PY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472233290115844"/>
          <c:y val="0.0277777777777778"/>
          <c:w val="0.81623048624946"/>
          <c:h val="0.87962962962963"/>
        </c:manualLayout>
      </c:layout>
      <c:lineChart>
        <c:grouping val="standard"/>
        <c:varyColors val="0"/>
        <c:ser>
          <c:idx val="0"/>
          <c:order val="0"/>
          <c:tx>
            <c:v>Torque</c:v>
          </c:tx>
          <c:spPr>
            <a:effectLst>
              <a:outerShdw dist="25400" dir="16200000" algn="tl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Sheet3!$F$161:$L$161</c:f>
              <c:numCache>
                <c:formatCode>0</c:formatCode>
                <c:ptCount val="7"/>
                <c:pt idx="0">
                  <c:v>7500.0</c:v>
                </c:pt>
                <c:pt idx="1">
                  <c:v>8000.0</c:v>
                </c:pt>
                <c:pt idx="2">
                  <c:v>8500.0</c:v>
                </c:pt>
                <c:pt idx="3">
                  <c:v>9000.0</c:v>
                </c:pt>
                <c:pt idx="4">
                  <c:v>9500.0</c:v>
                </c:pt>
                <c:pt idx="5">
                  <c:v>10000.0</c:v>
                </c:pt>
                <c:pt idx="6">
                  <c:v>10500.0</c:v>
                </c:pt>
              </c:numCache>
            </c:numRef>
          </c:cat>
          <c:val>
            <c:numRef>
              <c:f>Sheet3!$F$214:$L$214</c:f>
              <c:numCache>
                <c:formatCode>0.0</c:formatCode>
                <c:ptCount val="7"/>
                <c:pt idx="0">
                  <c:v>1.399</c:v>
                </c:pt>
                <c:pt idx="1">
                  <c:v>1.515</c:v>
                </c:pt>
                <c:pt idx="2">
                  <c:v>1.357</c:v>
                </c:pt>
                <c:pt idx="3">
                  <c:v>1.26</c:v>
                </c:pt>
                <c:pt idx="4">
                  <c:v>0.954</c:v>
                </c:pt>
                <c:pt idx="5">
                  <c:v>0.476</c:v>
                </c:pt>
                <c:pt idx="6">
                  <c:v>0.086</c:v>
                </c:pt>
              </c:numCache>
            </c:numRef>
          </c:val>
          <c:smooth val="0"/>
        </c:ser>
        <c:ser>
          <c:idx val="1"/>
          <c:order val="1"/>
          <c:tx>
            <c:v>Eport boost</c:v>
          </c:tx>
          <c:marker>
            <c:symbol val="none"/>
          </c:marker>
          <c:val>
            <c:numRef>
              <c:f>Sheet3!$F$212:$L$212</c:f>
              <c:numCache>
                <c:formatCode>0.0</c:formatCode>
                <c:ptCount val="7"/>
                <c:pt idx="0">
                  <c:v>1.365</c:v>
                </c:pt>
                <c:pt idx="1">
                  <c:v>1.395</c:v>
                </c:pt>
                <c:pt idx="2">
                  <c:v>1.17</c:v>
                </c:pt>
                <c:pt idx="3">
                  <c:v>1.05</c:v>
                </c:pt>
                <c:pt idx="4">
                  <c:v>0.75</c:v>
                </c:pt>
                <c:pt idx="5">
                  <c:v>0.285</c:v>
                </c:pt>
                <c:pt idx="6">
                  <c:v>-0.09</c:v>
                </c:pt>
              </c:numCache>
            </c:numRef>
          </c:val>
          <c:smooth val="0"/>
        </c:ser>
        <c:ser>
          <c:idx val="2"/>
          <c:order val="2"/>
          <c:tx>
            <c:v>Tport boost</c:v>
          </c:tx>
          <c:marker>
            <c:symbol val="none"/>
          </c:marker>
          <c:val>
            <c:numRef>
              <c:f>Sheet3!$F$213:$L$213</c:f>
              <c:numCache>
                <c:formatCode>0.0</c:formatCode>
                <c:ptCount val="7"/>
                <c:pt idx="0">
                  <c:v>0.034</c:v>
                </c:pt>
                <c:pt idx="1">
                  <c:v>0.12</c:v>
                </c:pt>
                <c:pt idx="2">
                  <c:v>0.187</c:v>
                </c:pt>
                <c:pt idx="3">
                  <c:v>0.21</c:v>
                </c:pt>
                <c:pt idx="4">
                  <c:v>0.204</c:v>
                </c:pt>
                <c:pt idx="5">
                  <c:v>0.191</c:v>
                </c:pt>
                <c:pt idx="6">
                  <c:v>0.176</c:v>
                </c:pt>
              </c:numCache>
            </c:numRef>
          </c:val>
          <c:smooth val="0"/>
        </c:ser>
        <c:ser>
          <c:idx val="3"/>
          <c:order val="3"/>
          <c:tx>
            <c:v>horsepower</c:v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Sheet3!$F$215:$L$215</c:f>
              <c:numCache>
                <c:formatCode>0.0</c:formatCode>
                <c:ptCount val="7"/>
                <c:pt idx="0">
                  <c:v>1.997810357958873</c:v>
                </c:pt>
                <c:pt idx="1">
                  <c:v>2.163461538461538</c:v>
                </c:pt>
                <c:pt idx="2">
                  <c:v>1.937833206397563</c:v>
                </c:pt>
                <c:pt idx="3">
                  <c:v>1.799314546839299</c:v>
                </c:pt>
                <c:pt idx="4">
                  <c:v>1.362338156892612</c:v>
                </c:pt>
                <c:pt idx="5">
                  <c:v>0.67974105102818</c:v>
                </c:pt>
                <c:pt idx="6">
                  <c:v>0.122810357958873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202344"/>
        <c:axId val="2122640584"/>
      </c:lineChart>
      <c:catAx>
        <c:axId val="2123202344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PY"/>
            </a:pPr>
            <a:endParaRPr lang="en-US"/>
          </a:p>
        </c:txPr>
        <c:crossAx val="2122640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264058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lang="es-PY"/>
            </a:pPr>
            <a:endParaRPr lang="en-US"/>
          </a:p>
        </c:txPr>
        <c:crossAx val="2123202344"/>
        <c:crosses val="autoZero"/>
        <c:crossBetween val="between"/>
      </c:valAx>
      <c:spPr>
        <a:solidFill>
          <a:sysClr val="window" lastClr="FFFFFF"/>
        </a:solidFill>
        <a:ln>
          <a:solidFill>
            <a:srgbClr val="0000FF"/>
          </a:solidFill>
        </a:ln>
      </c:spPr>
    </c:plotArea>
    <c:legend>
      <c:legendPos val="r"/>
      <c:layout/>
      <c:overlay val="0"/>
      <c:txPr>
        <a:bodyPr/>
        <a:lstStyle/>
        <a:p>
          <a:pPr>
            <a:defRPr lang="es-PY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165100</xdr:colOff>
      <xdr:row>0</xdr:row>
      <xdr:rowOff>127000</xdr:rowOff>
    </xdr:from>
    <xdr:to>
      <xdr:col>12</xdr:col>
      <xdr:colOff>1016000</xdr:colOff>
      <xdr:row>14</xdr:row>
      <xdr:rowOff>38100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127000</xdr:colOff>
      <xdr:row>69</xdr:row>
      <xdr:rowOff>0</xdr:rowOff>
    </xdr:from>
    <xdr:to>
      <xdr:col>12</xdr:col>
      <xdr:colOff>1143000</xdr:colOff>
      <xdr:row>94</xdr:row>
      <xdr:rowOff>152400</xdr:rowOff>
    </xdr:to>
    <xdr:graphicFrame macro="">
      <xdr:nvGraphicFramePr>
        <xdr:cNvPr id="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165100</xdr:colOff>
      <xdr:row>132</xdr:row>
      <xdr:rowOff>114300</xdr:rowOff>
    </xdr:from>
    <xdr:to>
      <xdr:col>12</xdr:col>
      <xdr:colOff>1295400</xdr:colOff>
      <xdr:row>154</xdr:row>
      <xdr:rowOff>12700</xdr:rowOff>
    </xdr:to>
    <xdr:graphicFrame macro="">
      <xdr:nvGraphicFramePr>
        <xdr:cNvPr id="1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1003300</xdr:colOff>
      <xdr:row>170</xdr:row>
      <xdr:rowOff>101600</xdr:rowOff>
    </xdr:from>
    <xdr:to>
      <xdr:col>12</xdr:col>
      <xdr:colOff>1219200</xdr:colOff>
      <xdr:row>186</xdr:row>
      <xdr:rowOff>127000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1041400</xdr:colOff>
      <xdr:row>192</xdr:row>
      <xdr:rowOff>152400</xdr:rowOff>
    </xdr:from>
    <xdr:to>
      <xdr:col>12</xdr:col>
      <xdr:colOff>1257300</xdr:colOff>
      <xdr:row>209</xdr:row>
      <xdr:rowOff>88900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2</xdr:row>
      <xdr:rowOff>38100</xdr:rowOff>
    </xdr:from>
    <xdr:to>
      <xdr:col>5</xdr:col>
      <xdr:colOff>381000</xdr:colOff>
      <xdr:row>25</xdr:row>
      <xdr:rowOff>25400</xdr:rowOff>
    </xdr:to>
    <xdr:pic>
      <xdr:nvPicPr>
        <xdr:cNvPr id="2" name="Picture 1" descr="pipesection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431800"/>
          <a:ext cx="5080000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ragonfly75.com/motorbike/ECcalc/ECCinstr.html" TargetMode="External"/><Relationship Id="rId4" Type="http://schemas.openxmlformats.org/officeDocument/2006/relationships/hyperlink" Target="http://www.dragonfly75.com/motorbike/ECcalc/ECCinstr.html" TargetMode="External"/><Relationship Id="rId5" Type="http://schemas.openxmlformats.org/officeDocument/2006/relationships/hyperlink" Target="http://www.dragonfly75.com/motorbike/ECtheory.html" TargetMode="External"/><Relationship Id="rId6" Type="http://schemas.openxmlformats.org/officeDocument/2006/relationships/hyperlink" Target="http://www.dragonfly75.com/motorbike/ECtheory.html" TargetMode="External"/><Relationship Id="rId1" Type="http://schemas.openxmlformats.org/officeDocument/2006/relationships/hyperlink" Target="http://www.dragonfly75.com/motorbike/ECcalc/ECCinstr.html" TargetMode="External"/><Relationship Id="rId2" Type="http://schemas.openxmlformats.org/officeDocument/2006/relationships/hyperlink" Target="http://www.dragonfly75.com/motorbike/ECcalc/ECCinstr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tabSelected="1" workbookViewId="0">
      <selection activeCell="C43" sqref="C43"/>
    </sheetView>
  </sheetViews>
  <sheetFormatPr baseColWidth="10" defaultRowHeight="13" x14ac:dyDescent="0"/>
  <cols>
    <col min="1" max="1" width="12.42578125" customWidth="1"/>
    <col min="2" max="2" width="13.7109375" customWidth="1"/>
    <col min="3" max="3" width="12.85546875" customWidth="1"/>
    <col min="4" max="4" width="12.5703125" customWidth="1"/>
    <col min="5" max="6" width="12.85546875" customWidth="1"/>
    <col min="7" max="7" width="12.140625" customWidth="1"/>
    <col min="8" max="8" width="14" customWidth="1"/>
    <col min="9" max="9" width="14.28515625" customWidth="1"/>
    <col min="10" max="10" width="12.7109375" customWidth="1"/>
    <col min="11" max="11" width="14.5703125" customWidth="1"/>
    <col min="12" max="12" width="12.28515625" customWidth="1"/>
    <col min="13" max="13" width="12" customWidth="1"/>
    <col min="14" max="14" width="12.42578125" customWidth="1"/>
    <col min="15" max="15" width="11.7109375" customWidth="1"/>
    <col min="16" max="16" width="11.85546875" customWidth="1"/>
  </cols>
  <sheetData>
    <row r="1" spans="1:15" ht="14" thickBot="1">
      <c r="C1" s="99" t="s">
        <v>255</v>
      </c>
      <c r="D1" s="100" t="s">
        <v>408</v>
      </c>
      <c r="L1" s="345"/>
      <c r="M1" s="622" t="s">
        <v>434</v>
      </c>
      <c r="N1" t="s">
        <v>146</v>
      </c>
    </row>
    <row r="2" spans="1:15" ht="14" thickBot="1">
      <c r="E2" s="37" t="s">
        <v>352</v>
      </c>
      <c r="F2" s="38" t="s">
        <v>296</v>
      </c>
      <c r="G2" s="39" t="s">
        <v>463</v>
      </c>
      <c r="H2" s="38" t="s">
        <v>351</v>
      </c>
      <c r="K2" s="4"/>
      <c r="L2" s="345"/>
    </row>
    <row r="3" spans="1:15" ht="14" thickBot="1">
      <c r="A3" s="40" t="s">
        <v>473</v>
      </c>
      <c r="B3" s="41" t="s">
        <v>473</v>
      </c>
      <c r="E3" s="411" t="s">
        <v>474</v>
      </c>
      <c r="F3" s="410" t="s">
        <v>474</v>
      </c>
      <c r="G3" s="42" t="s">
        <v>474</v>
      </c>
      <c r="H3" s="43" t="s">
        <v>474</v>
      </c>
      <c r="K3" s="4"/>
      <c r="L3" s="345"/>
    </row>
    <row r="4" spans="1:15" ht="14" thickBot="1">
      <c r="A4" s="44" t="s">
        <v>88</v>
      </c>
      <c r="B4" s="45" t="s">
        <v>312</v>
      </c>
      <c r="D4" s="572" t="s">
        <v>292</v>
      </c>
      <c r="E4" s="412" t="s">
        <v>433</v>
      </c>
      <c r="F4" s="43" t="s">
        <v>433</v>
      </c>
      <c r="G4" s="42" t="s">
        <v>433</v>
      </c>
      <c r="H4" s="43" t="s">
        <v>433</v>
      </c>
      <c r="I4" s="46" t="s">
        <v>437</v>
      </c>
      <c r="J4" s="38" t="s">
        <v>223</v>
      </c>
      <c r="K4" s="4"/>
      <c r="L4" s="569" t="s">
        <v>426</v>
      </c>
      <c r="M4" s="398" t="s">
        <v>44</v>
      </c>
      <c r="N4" s="568" t="s">
        <v>45</v>
      </c>
      <c r="O4" s="398" t="s">
        <v>97</v>
      </c>
    </row>
    <row r="5" spans="1:15">
      <c r="A5" s="44" t="s">
        <v>71</v>
      </c>
      <c r="B5" s="47" t="s">
        <v>273</v>
      </c>
      <c r="C5" s="224" t="s">
        <v>153</v>
      </c>
      <c r="D5" s="573" t="s">
        <v>291</v>
      </c>
      <c r="E5" s="49" t="s">
        <v>84</v>
      </c>
      <c r="F5" s="43" t="s">
        <v>84</v>
      </c>
      <c r="G5" s="42" t="s">
        <v>84</v>
      </c>
      <c r="H5" s="43" t="s">
        <v>84</v>
      </c>
      <c r="I5" s="49" t="s">
        <v>83</v>
      </c>
      <c r="J5" s="567" t="s">
        <v>83</v>
      </c>
      <c r="K5" s="571" t="s">
        <v>176</v>
      </c>
      <c r="L5" s="570" t="s">
        <v>425</v>
      </c>
      <c r="M5" s="396" t="s">
        <v>42</v>
      </c>
      <c r="N5" s="397" t="s">
        <v>43</v>
      </c>
      <c r="O5" s="396" t="s">
        <v>98</v>
      </c>
    </row>
    <row r="6" spans="1:15">
      <c r="A6" s="50">
        <v>180</v>
      </c>
      <c r="B6" s="50">
        <v>120</v>
      </c>
      <c r="C6" s="50">
        <v>10000</v>
      </c>
      <c r="D6" s="226">
        <f>(A6-114)/0.01283+5000</f>
        <v>10144.193296960249</v>
      </c>
      <c r="E6" s="51">
        <f>((((A6-B6)/2)/360)*(60/C6))*1000</f>
        <v>0.5</v>
      </c>
      <c r="F6" s="51">
        <f>((A6/2)/360)*(60/C6)*1000</f>
        <v>1.5</v>
      </c>
      <c r="G6" s="304">
        <f>((((A6/2)+(B6/2))/360)*(60/C6))*1000</f>
        <v>2.5</v>
      </c>
      <c r="H6" s="51">
        <f>(((A6)/360)*(60/C6))*1000</f>
        <v>3</v>
      </c>
      <c r="I6" s="327">
        <f t="shared" ref="I6:J13" si="0">180-(A6/2)</f>
        <v>90</v>
      </c>
      <c r="J6" s="565">
        <f t="shared" si="0"/>
        <v>120</v>
      </c>
      <c r="K6" s="327">
        <f t="shared" ref="K6:K13" si="1">(A6-B6)/2</f>
        <v>30</v>
      </c>
      <c r="L6" s="512">
        <f>(H6-G6)/2+G6</f>
        <v>2.75</v>
      </c>
      <c r="M6" s="327">
        <f>B6+J6</f>
        <v>240</v>
      </c>
      <c r="N6" s="327">
        <f>A6+I6</f>
        <v>270</v>
      </c>
      <c r="O6" s="548">
        <f>((N6-I6)/360)*(60000/C6)</f>
        <v>3</v>
      </c>
    </row>
    <row r="7" spans="1:15">
      <c r="A7" s="385">
        <f>A6</f>
        <v>180</v>
      </c>
      <c r="B7" s="385">
        <f>B6</f>
        <v>120</v>
      </c>
      <c r="C7" s="50">
        <v>9000</v>
      </c>
      <c r="E7" s="51">
        <f t="shared" ref="E7:E13" si="2">((((A7-B7)/2)/360)*(60/C7))*1000</f>
        <v>0.55555555555555558</v>
      </c>
      <c r="F7" s="51">
        <f t="shared" ref="F7:F13" si="3">((A7/2)/360)*(60/C7)*1000</f>
        <v>1.6666666666666667</v>
      </c>
      <c r="G7" s="304">
        <f t="shared" ref="G7:G13" si="4">((((A7/2)+(B7/2))/360)*(60/C7))*1000</f>
        <v>2.7777777777777777</v>
      </c>
      <c r="H7" s="51">
        <f t="shared" ref="H7:H13" si="5">(((A7)/360)*(60/C7))*1000</f>
        <v>3.3333333333333335</v>
      </c>
      <c r="I7" s="327">
        <f t="shared" si="0"/>
        <v>90</v>
      </c>
      <c r="J7" s="565">
        <f t="shared" si="0"/>
        <v>120</v>
      </c>
      <c r="K7" s="327">
        <f t="shared" si="1"/>
        <v>30</v>
      </c>
    </row>
    <row r="8" spans="1:15">
      <c r="A8" s="385">
        <f>A6</f>
        <v>180</v>
      </c>
      <c r="B8" s="385">
        <f>B6</f>
        <v>120</v>
      </c>
      <c r="C8" s="50">
        <v>8000</v>
      </c>
      <c r="E8" s="51">
        <f t="shared" si="2"/>
        <v>0.62499999999999989</v>
      </c>
      <c r="F8" s="51">
        <f t="shared" si="3"/>
        <v>1.875</v>
      </c>
      <c r="G8" s="304">
        <f t="shared" si="4"/>
        <v>3.125</v>
      </c>
      <c r="H8" s="51">
        <f t="shared" si="5"/>
        <v>3.75</v>
      </c>
      <c r="I8" s="327">
        <f t="shared" si="0"/>
        <v>90</v>
      </c>
      <c r="J8" s="565">
        <f t="shared" si="0"/>
        <v>120</v>
      </c>
      <c r="K8" s="327">
        <f t="shared" si="1"/>
        <v>30</v>
      </c>
    </row>
    <row r="9" spans="1:15">
      <c r="A9" s="385">
        <f>A6</f>
        <v>180</v>
      </c>
      <c r="B9" s="385">
        <f>B6</f>
        <v>120</v>
      </c>
      <c r="C9" s="50">
        <v>7000</v>
      </c>
      <c r="E9" s="51">
        <f t="shared" si="2"/>
        <v>0.7142857142857143</v>
      </c>
      <c r="F9" s="51">
        <f t="shared" si="3"/>
        <v>2.1428571428571428</v>
      </c>
      <c r="G9" s="304">
        <f t="shared" si="4"/>
        <v>3.5714285714285716</v>
      </c>
      <c r="H9" s="51">
        <f t="shared" si="5"/>
        <v>4.2857142857142856</v>
      </c>
      <c r="I9" s="327">
        <f t="shared" si="0"/>
        <v>90</v>
      </c>
      <c r="J9" s="565">
        <f t="shared" si="0"/>
        <v>120</v>
      </c>
      <c r="K9" s="327">
        <f t="shared" si="1"/>
        <v>30</v>
      </c>
    </row>
    <row r="10" spans="1:15">
      <c r="A10" s="385">
        <f>A6</f>
        <v>180</v>
      </c>
      <c r="B10" s="385">
        <f>B6</f>
        <v>120</v>
      </c>
      <c r="C10" s="50">
        <v>6000</v>
      </c>
      <c r="E10" s="53">
        <f t="shared" si="2"/>
        <v>0.83333333333333326</v>
      </c>
      <c r="F10" s="51">
        <f t="shared" si="3"/>
        <v>2.5</v>
      </c>
      <c r="G10" s="304">
        <f t="shared" si="4"/>
        <v>4.166666666666667</v>
      </c>
      <c r="H10" s="51">
        <f t="shared" si="5"/>
        <v>5</v>
      </c>
      <c r="I10" s="328">
        <f t="shared" si="0"/>
        <v>90</v>
      </c>
      <c r="J10" s="566">
        <f t="shared" si="0"/>
        <v>120</v>
      </c>
      <c r="K10" s="328">
        <f t="shared" si="1"/>
        <v>30</v>
      </c>
    </row>
    <row r="11" spans="1:15">
      <c r="A11" s="385">
        <f>A6</f>
        <v>180</v>
      </c>
      <c r="B11" s="385">
        <f>B6</f>
        <v>120</v>
      </c>
      <c r="C11" s="50">
        <v>5000</v>
      </c>
      <c r="E11" s="53">
        <f t="shared" si="2"/>
        <v>1</v>
      </c>
      <c r="F11" s="51">
        <f t="shared" si="3"/>
        <v>3</v>
      </c>
      <c r="G11" s="304">
        <f t="shared" si="4"/>
        <v>5</v>
      </c>
      <c r="H11" s="51">
        <f t="shared" si="5"/>
        <v>6</v>
      </c>
      <c r="I11" s="328">
        <f t="shared" si="0"/>
        <v>90</v>
      </c>
      <c r="J11" s="566">
        <f t="shared" si="0"/>
        <v>120</v>
      </c>
      <c r="K11" s="328">
        <f t="shared" si="1"/>
        <v>30</v>
      </c>
    </row>
    <row r="12" spans="1:15">
      <c r="A12" s="385">
        <f>A6</f>
        <v>180</v>
      </c>
      <c r="B12" s="385">
        <f>B6</f>
        <v>120</v>
      </c>
      <c r="C12" s="50">
        <v>4000</v>
      </c>
      <c r="E12" s="53">
        <f t="shared" si="2"/>
        <v>1.2499999999999998</v>
      </c>
      <c r="F12" s="51">
        <f t="shared" si="3"/>
        <v>3.75</v>
      </c>
      <c r="G12" s="304">
        <f t="shared" si="4"/>
        <v>6.25</v>
      </c>
      <c r="H12" s="51">
        <f t="shared" si="5"/>
        <v>7.5</v>
      </c>
      <c r="I12" s="328">
        <f t="shared" si="0"/>
        <v>90</v>
      </c>
      <c r="J12" s="566">
        <f t="shared" si="0"/>
        <v>120</v>
      </c>
      <c r="K12" s="328">
        <f t="shared" si="1"/>
        <v>30</v>
      </c>
      <c r="L12" s="136"/>
    </row>
    <row r="13" spans="1:15">
      <c r="A13" s="385">
        <f>A6</f>
        <v>180</v>
      </c>
      <c r="B13" s="385">
        <f>B6</f>
        <v>120</v>
      </c>
      <c r="C13" s="50">
        <v>3000</v>
      </c>
      <c r="E13" s="53">
        <f t="shared" si="2"/>
        <v>1.6666666666666665</v>
      </c>
      <c r="F13" s="51">
        <f t="shared" si="3"/>
        <v>5</v>
      </c>
      <c r="G13" s="304">
        <f t="shared" si="4"/>
        <v>8.3333333333333339</v>
      </c>
      <c r="H13" s="51">
        <f t="shared" si="5"/>
        <v>10</v>
      </c>
      <c r="I13" s="328">
        <f t="shared" si="0"/>
        <v>90</v>
      </c>
      <c r="J13" s="566">
        <f t="shared" si="0"/>
        <v>120</v>
      </c>
      <c r="K13" s="328">
        <f t="shared" si="1"/>
        <v>30</v>
      </c>
      <c r="L13" s="136"/>
    </row>
    <row r="14" spans="1:15" ht="14" thickBot="1">
      <c r="A14" s="54"/>
      <c r="B14" s="54"/>
      <c r="C14" s="3"/>
      <c r="D14" s="55"/>
      <c r="E14" s="56"/>
      <c r="F14" s="56"/>
      <c r="G14" s="56"/>
      <c r="H14" s="54"/>
      <c r="I14" s="54"/>
      <c r="J14" s="57"/>
    </row>
    <row r="15" spans="1:15" ht="14" thickBot="1">
      <c r="A15" s="413" t="s">
        <v>396</v>
      </c>
      <c r="B15" s="414" t="s">
        <v>394</v>
      </c>
      <c r="C15" s="415" t="s">
        <v>339</v>
      </c>
      <c r="D15" s="370">
        <v>180</v>
      </c>
      <c r="E15" s="527" t="s">
        <v>131</v>
      </c>
      <c r="F15" s="55"/>
      <c r="G15" s="56"/>
      <c r="H15" s="55"/>
      <c r="I15" s="57"/>
      <c r="J15" s="4"/>
      <c r="K15" s="57"/>
      <c r="L15" s="55"/>
      <c r="M15" s="14"/>
    </row>
    <row r="16" spans="1:15" ht="14" thickBot="1">
      <c r="C16" s="54"/>
      <c r="E16" s="366" t="s">
        <v>338</v>
      </c>
      <c r="F16" s="276" t="s">
        <v>271</v>
      </c>
      <c r="G16" s="37" t="s">
        <v>271</v>
      </c>
      <c r="H16" s="38" t="s">
        <v>274</v>
      </c>
      <c r="I16" s="37" t="s">
        <v>271</v>
      </c>
      <c r="J16" s="335" t="s">
        <v>368</v>
      </c>
      <c r="K16" s="4"/>
      <c r="L16" s="421" t="s">
        <v>93</v>
      </c>
      <c r="M16" s="416" t="s">
        <v>210</v>
      </c>
      <c r="N16" s="416" t="s">
        <v>212</v>
      </c>
    </row>
    <row r="17" spans="1:18">
      <c r="A17" s="40" t="s">
        <v>324</v>
      </c>
      <c r="B17" s="41" t="s">
        <v>247</v>
      </c>
      <c r="C17" s="40" t="s">
        <v>161</v>
      </c>
      <c r="D17" s="58" t="s">
        <v>162</v>
      </c>
      <c r="E17" s="59" t="s">
        <v>308</v>
      </c>
      <c r="F17" s="367" t="s">
        <v>37</v>
      </c>
      <c r="G17" s="48" t="s">
        <v>37</v>
      </c>
      <c r="H17" s="43" t="s">
        <v>38</v>
      </c>
      <c r="I17" s="48" t="s">
        <v>37</v>
      </c>
      <c r="J17" s="336" t="s">
        <v>369</v>
      </c>
      <c r="K17" s="318" t="s">
        <v>132</v>
      </c>
      <c r="L17" s="422" t="s">
        <v>94</v>
      </c>
      <c r="M17" s="320" t="s">
        <v>94</v>
      </c>
      <c r="N17" s="320" t="s">
        <v>213</v>
      </c>
      <c r="P17" s="417" t="s">
        <v>15</v>
      </c>
      <c r="Q17" s="417" t="s">
        <v>17</v>
      </c>
      <c r="R17" s="524" t="s">
        <v>129</v>
      </c>
    </row>
    <row r="18" spans="1:18">
      <c r="A18" s="44" t="s">
        <v>447</v>
      </c>
      <c r="B18" s="45" t="s">
        <v>447</v>
      </c>
      <c r="C18" s="44" t="s">
        <v>447</v>
      </c>
      <c r="D18" s="47" t="s">
        <v>447</v>
      </c>
      <c r="E18" s="59" t="s">
        <v>28</v>
      </c>
      <c r="F18" s="371" t="s">
        <v>397</v>
      </c>
      <c r="G18" s="48" t="s">
        <v>392</v>
      </c>
      <c r="H18" s="43" t="s">
        <v>445</v>
      </c>
      <c r="I18" s="48" t="s">
        <v>446</v>
      </c>
      <c r="J18" s="60" t="s">
        <v>215</v>
      </c>
      <c r="K18" s="319" t="s">
        <v>363</v>
      </c>
      <c r="L18" s="423" t="s">
        <v>209</v>
      </c>
      <c r="M18" s="321" t="s">
        <v>211</v>
      </c>
      <c r="N18" s="321" t="s">
        <v>214</v>
      </c>
      <c r="O18" s="420" t="s">
        <v>395</v>
      </c>
      <c r="P18" s="418" t="s">
        <v>16</v>
      </c>
      <c r="Q18" s="419" t="s">
        <v>16</v>
      </c>
      <c r="R18" s="525" t="s">
        <v>130</v>
      </c>
    </row>
    <row r="19" spans="1:18">
      <c r="A19" s="50">
        <v>360</v>
      </c>
      <c r="B19" s="50">
        <v>210</v>
      </c>
      <c r="C19" s="50">
        <v>200</v>
      </c>
      <c r="D19" s="75">
        <v>210</v>
      </c>
      <c r="E19" s="61">
        <v>650</v>
      </c>
      <c r="F19" s="368">
        <f>(A19*2)/SQRT(1.35*291*(O19+273))</f>
        <v>1.1956890916838745</v>
      </c>
      <c r="G19" s="225">
        <f t="shared" ref="G19:G26" si="6">F19+(10/R19)*(1.5/(10/R19)+(B19/10)*2)*0.71</f>
        <v>2.7559036571562792</v>
      </c>
      <c r="H19" s="51">
        <f>2*((F19/2)+B19/(SQRT(1.35*291*(O19*0.79+273)))+C19/(SQRT(1.35*291*(O19*0.7+273))))</f>
        <v>2.6992440864913587</v>
      </c>
      <c r="I19" s="307">
        <f t="shared" ref="I19:I26" si="7">H19+(10/(R19*0.65))*(1.5/(10/(R19*0.65))-2+(D19/10)*2)*0.68</f>
        <v>4.4141744987520717</v>
      </c>
      <c r="J19" s="51">
        <f t="shared" ref="J19:J26" si="8">IF(G19&gt;H19,((G19-H19)/2)+H19,((H19-G19)/2)+G19)</f>
        <v>2.7275738718238189</v>
      </c>
      <c r="K19" s="319" t="s">
        <v>171</v>
      </c>
      <c r="L19" s="323">
        <f>((360*J19)/(60000/C6))+I6</f>
        <v>253.65443230942915</v>
      </c>
      <c r="M19" s="324">
        <f>((((I6/360)*(60000/C6)+(2*J19)-(60000/C6)))/(60000/C6))*360</f>
        <v>57.308864618858273</v>
      </c>
      <c r="N19" s="325">
        <f>M19+((I19-J19)/(60000/C6))*360</f>
        <v>158.50490223455344</v>
      </c>
      <c r="O19" s="155">
        <f>E19-(((A19/2)-D15)/25.5)*14.2</f>
        <v>650</v>
      </c>
      <c r="P19" s="327">
        <f>360+((((I6/360)*(60000/C6)+(1*J19)-(60000/C6)))/(60000/C6))*360</f>
        <v>253.65443230942913</v>
      </c>
      <c r="Q19" s="327">
        <f>P19+((I19-J19)/(60000/C6))*360</f>
        <v>354.85046992512429</v>
      </c>
      <c r="R19" s="155">
        <f t="shared" ref="R19:R26" si="9">SQRT(1.35*291*(O19+273))</f>
        <v>602.16322537996291</v>
      </c>
    </row>
    <row r="20" spans="1:18">
      <c r="A20" s="385">
        <f>A19</f>
        <v>360</v>
      </c>
      <c r="B20" s="385">
        <f>B19</f>
        <v>210</v>
      </c>
      <c r="C20" s="385">
        <f>C19</f>
        <v>200</v>
      </c>
      <c r="D20" s="385">
        <f>D19</f>
        <v>210</v>
      </c>
      <c r="E20" s="526">
        <f t="shared" ref="E20:E26" si="10">E19-((C6-C7)/1000)*33</f>
        <v>617</v>
      </c>
      <c r="F20" s="137">
        <f t="shared" ref="F20:F26" si="11">(A20*2)/SQRT(1.35*291*(O20+273))</f>
        <v>1.2176546017089158</v>
      </c>
      <c r="G20" s="225">
        <f t="shared" si="6"/>
        <v>2.7869665492500251</v>
      </c>
      <c r="H20" s="51">
        <f t="shared" ref="H20:H26" si="12">(G20-0.75)+(C20*2)/(SQRT(1.35*291*(O20*0.7+273)))</f>
        <v>2.7970877702592265</v>
      </c>
      <c r="I20" s="307">
        <f t="shared" si="7"/>
        <v>4.5247844618507331</v>
      </c>
      <c r="J20" s="51">
        <f t="shared" si="8"/>
        <v>2.7920271597546256</v>
      </c>
      <c r="K20" s="319" t="s">
        <v>477</v>
      </c>
      <c r="L20" s="323">
        <f t="shared" ref="L20:L26" si="13">((360*H20)/(60000/C7))+I7</f>
        <v>241.04273959399822</v>
      </c>
      <c r="M20" s="324">
        <f t="shared" ref="M20:M26" si="14">((((I7/360)*(60000/C7)+(2*J20)-(60000/C7)))/(60000/C7))*360</f>
        <v>31.538933253499561</v>
      </c>
      <c r="N20" s="325">
        <f t="shared" ref="N20:N26" si="15">M20+((I20-J20)/(60000/C7))*360</f>
        <v>125.10782756668937</v>
      </c>
      <c r="O20" s="155">
        <f>E20-(((A20/2)-D15)/25.5)*14.2</f>
        <v>617</v>
      </c>
      <c r="P20" s="311"/>
      <c r="R20" s="155">
        <f t="shared" si="9"/>
        <v>591.30068493111014</v>
      </c>
    </row>
    <row r="21" spans="1:18">
      <c r="A21" s="385">
        <f>A19</f>
        <v>360</v>
      </c>
      <c r="B21" s="385">
        <f>B19</f>
        <v>210</v>
      </c>
      <c r="C21" s="385">
        <f>C19</f>
        <v>200</v>
      </c>
      <c r="D21" s="385">
        <f>D19</f>
        <v>210</v>
      </c>
      <c r="E21" s="385">
        <f t="shared" si="10"/>
        <v>584</v>
      </c>
      <c r="F21" s="51">
        <f t="shared" si="11"/>
        <v>1.2408769196010438</v>
      </c>
      <c r="G21" s="51">
        <f t="shared" si="6"/>
        <v>2.8198067771358097</v>
      </c>
      <c r="H21" s="51">
        <f t="shared" si="12"/>
        <v>2.842697535095926</v>
      </c>
      <c r="I21" s="51">
        <f t="shared" si="7"/>
        <v>4.5838909584537983</v>
      </c>
      <c r="J21" s="51">
        <f t="shared" si="8"/>
        <v>2.8312521561158679</v>
      </c>
      <c r="K21" s="319" t="s">
        <v>0</v>
      </c>
      <c r="L21" s="326">
        <f t="shared" si="13"/>
        <v>226.44948168460445</v>
      </c>
      <c r="M21" s="327">
        <f t="shared" si="14"/>
        <v>1.8002069871233175</v>
      </c>
      <c r="N21" s="327">
        <f t="shared" si="15"/>
        <v>85.926869499343979</v>
      </c>
      <c r="O21" s="155">
        <f>E21-(((A21/2)-D15)/25.5)*14.2</f>
        <v>584</v>
      </c>
      <c r="P21" s="311"/>
      <c r="R21" s="155">
        <f t="shared" si="9"/>
        <v>580.23482315352294</v>
      </c>
    </row>
    <row r="22" spans="1:18">
      <c r="A22" s="385">
        <f>A19</f>
        <v>360</v>
      </c>
      <c r="B22" s="385">
        <f>B19</f>
        <v>210</v>
      </c>
      <c r="C22" s="385">
        <f>C19</f>
        <v>200</v>
      </c>
      <c r="D22" s="385">
        <f>D19</f>
        <v>210</v>
      </c>
      <c r="E22" s="385">
        <f t="shared" si="10"/>
        <v>551</v>
      </c>
      <c r="F22" s="51">
        <f t="shared" si="11"/>
        <v>1.2654806585513074</v>
      </c>
      <c r="G22" s="51">
        <f t="shared" si="6"/>
        <v>2.8546005646346404</v>
      </c>
      <c r="H22" s="51">
        <f t="shared" si="12"/>
        <v>2.8909268270673611</v>
      </c>
      <c r="I22" s="51">
        <f t="shared" si="7"/>
        <v>4.6464198593877795</v>
      </c>
      <c r="J22" s="51">
        <f t="shared" si="8"/>
        <v>2.8727636958510008</v>
      </c>
      <c r="K22" s="319" t="s">
        <v>424</v>
      </c>
      <c r="L22" s="326">
        <f t="shared" si="13"/>
        <v>211.41892673682918</v>
      </c>
      <c r="M22" s="327">
        <f t="shared" si="14"/>
        <v>-28.687849548515945</v>
      </c>
      <c r="N22" s="327">
        <f t="shared" si="15"/>
        <v>45.805709320028768</v>
      </c>
      <c r="O22" s="155">
        <f>E22-(((A22/2)-D15)/25.5)*14.2</f>
        <v>551</v>
      </c>
      <c r="P22" s="311"/>
      <c r="R22" s="155">
        <f t="shared" si="9"/>
        <v>568.95377668137507</v>
      </c>
    </row>
    <row r="23" spans="1:18" ht="14" thickBot="1">
      <c r="A23" s="385">
        <f>A19</f>
        <v>360</v>
      </c>
      <c r="B23" s="385">
        <f>B19</f>
        <v>210</v>
      </c>
      <c r="C23" s="385">
        <f>C19</f>
        <v>200</v>
      </c>
      <c r="D23" s="385">
        <f>D19</f>
        <v>210</v>
      </c>
      <c r="E23" s="385">
        <f t="shared" si="10"/>
        <v>518</v>
      </c>
      <c r="F23" s="51">
        <f t="shared" si="11"/>
        <v>1.2916084450423244</v>
      </c>
      <c r="G23" s="51">
        <f t="shared" si="6"/>
        <v>2.8915496093640205</v>
      </c>
      <c r="H23" s="51">
        <f t="shared" si="12"/>
        <v>2.9420373189905495</v>
      </c>
      <c r="I23" s="51">
        <f t="shared" si="7"/>
        <v>4.7127157314937813</v>
      </c>
      <c r="J23" s="51">
        <f t="shared" si="8"/>
        <v>2.9167934641772852</v>
      </c>
      <c r="K23" s="322" t="s">
        <v>265</v>
      </c>
      <c r="L23" s="326">
        <f t="shared" si="13"/>
        <v>195.91334348365979</v>
      </c>
      <c r="M23" s="327">
        <f t="shared" si="14"/>
        <v>-59.990870579235462</v>
      </c>
      <c r="N23" s="327">
        <f t="shared" si="15"/>
        <v>4.6623310441583925</v>
      </c>
      <c r="O23" s="155">
        <f>E23-(((A23/2)-D15)/25.5)*14.2</f>
        <v>518</v>
      </c>
      <c r="P23" s="311"/>
      <c r="R23" s="155">
        <f t="shared" si="9"/>
        <v>557.44448154053873</v>
      </c>
    </row>
    <row r="24" spans="1:18">
      <c r="A24" s="385">
        <f>A19</f>
        <v>360</v>
      </c>
      <c r="B24" s="385">
        <f>B19</f>
        <v>210</v>
      </c>
      <c r="C24" s="385">
        <f>C19</f>
        <v>200</v>
      </c>
      <c r="D24" s="385">
        <f>D19</f>
        <v>210</v>
      </c>
      <c r="E24" s="385">
        <f t="shared" si="10"/>
        <v>485</v>
      </c>
      <c r="F24" s="51">
        <f t="shared" si="11"/>
        <v>1.3194244111990829</v>
      </c>
      <c r="G24" s="51">
        <f t="shared" si="6"/>
        <v>2.930886021504036</v>
      </c>
      <c r="H24" s="51">
        <f t="shared" si="12"/>
        <v>2.9963289409553826</v>
      </c>
      <c r="I24" s="51">
        <f t="shared" si="7"/>
        <v>4.7831738978916016</v>
      </c>
      <c r="J24" s="51">
        <f t="shared" si="8"/>
        <v>2.9636074812297091</v>
      </c>
      <c r="L24" s="326">
        <f t="shared" si="13"/>
        <v>179.8898682286615</v>
      </c>
      <c r="M24" s="327">
        <f t="shared" si="14"/>
        <v>-92.183551126217452</v>
      </c>
      <c r="N24" s="327">
        <f t="shared" si="15"/>
        <v>-37.596558626360675</v>
      </c>
      <c r="O24" s="155">
        <f>E24-(((A24/2)-D15)/25.5)*14.2</f>
        <v>485</v>
      </c>
      <c r="P24" s="311"/>
      <c r="R24" s="155">
        <f t="shared" si="9"/>
        <v>545.69249582525867</v>
      </c>
    </row>
    <row r="25" spans="1:18">
      <c r="A25" s="385">
        <f>A19</f>
        <v>360</v>
      </c>
      <c r="B25" s="385">
        <f>B19</f>
        <v>210</v>
      </c>
      <c r="C25" s="385">
        <f>C19</f>
        <v>200</v>
      </c>
      <c r="D25" s="385">
        <f>D19</f>
        <v>210</v>
      </c>
      <c r="E25" s="385">
        <f t="shared" si="10"/>
        <v>452</v>
      </c>
      <c r="F25" s="137">
        <f t="shared" si="11"/>
        <v>1.3491185520188176</v>
      </c>
      <c r="G25" s="137">
        <f t="shared" si="6"/>
        <v>2.9728784856466106</v>
      </c>
      <c r="H25" s="51">
        <f t="shared" si="12"/>
        <v>3.0541474127241277</v>
      </c>
      <c r="I25" s="51">
        <f t="shared" si="7"/>
        <v>4.8582505027863458</v>
      </c>
      <c r="J25" s="51">
        <f t="shared" si="8"/>
        <v>3.0135129491853689</v>
      </c>
      <c r="K25" s="56"/>
      <c r="L25" s="326">
        <f t="shared" si="13"/>
        <v>163.29953790537905</v>
      </c>
      <c r="M25" s="327">
        <f t="shared" si="14"/>
        <v>-125.35137843910229</v>
      </c>
      <c r="N25" s="327">
        <f t="shared" si="15"/>
        <v>-81.077677152678845</v>
      </c>
      <c r="O25" s="155">
        <f>E25-(((A25/2)-D15)/25.5)*14.2</f>
        <v>452</v>
      </c>
      <c r="P25" s="311"/>
      <c r="R25" s="155">
        <f t="shared" si="9"/>
        <v>533.68178721031882</v>
      </c>
    </row>
    <row r="26" spans="1:18">
      <c r="A26" s="385">
        <f>A19</f>
        <v>360</v>
      </c>
      <c r="B26" s="385">
        <f>B19</f>
        <v>210</v>
      </c>
      <c r="C26" s="385">
        <f>C19</f>
        <v>200</v>
      </c>
      <c r="D26" s="385">
        <f>D19</f>
        <v>210</v>
      </c>
      <c r="E26" s="385">
        <f t="shared" si="10"/>
        <v>419</v>
      </c>
      <c r="F26" s="51">
        <f t="shared" si="11"/>
        <v>1.3809122125695281</v>
      </c>
      <c r="G26" s="51">
        <f t="shared" si="6"/>
        <v>3.017840020608741</v>
      </c>
      <c r="H26" s="51">
        <f t="shared" si="12"/>
        <v>3.1158936785967519</v>
      </c>
      <c r="I26" s="51">
        <f t="shared" si="7"/>
        <v>4.9384751354747687</v>
      </c>
      <c r="J26" s="128">
        <f t="shared" si="8"/>
        <v>3.0668668496027465</v>
      </c>
      <c r="K26" s="56"/>
      <c r="L26" s="326">
        <f t="shared" si="13"/>
        <v>146.08608621474153</v>
      </c>
      <c r="M26" s="327">
        <f t="shared" si="14"/>
        <v>-159.59279341430113</v>
      </c>
      <c r="N26" s="327">
        <f t="shared" si="15"/>
        <v>-125.90384426860473</v>
      </c>
      <c r="O26" s="155">
        <f>E26-(((A26/2)-D15)/25.5)*14.2</f>
        <v>419</v>
      </c>
      <c r="P26" s="311"/>
      <c r="R26" s="155">
        <f t="shared" si="9"/>
        <v>521.39447638040815</v>
      </c>
    </row>
    <row r="27" spans="1:18">
      <c r="B27" s="62"/>
      <c r="C27" s="63"/>
      <c r="D27" s="54"/>
    </row>
    <row r="28" spans="1:18">
      <c r="B28" s="64"/>
      <c r="C28" s="65"/>
      <c r="D28" s="337" t="s">
        <v>416</v>
      </c>
    </row>
    <row r="29" spans="1:18" ht="14" thickBot="1">
      <c r="B29" s="66"/>
      <c r="C29" s="65"/>
      <c r="D29" s="52">
        <f>A19+B19+C19+D19</f>
        <v>980</v>
      </c>
    </row>
    <row r="30" spans="1:18">
      <c r="B30" s="124" t="s">
        <v>191</v>
      </c>
      <c r="C30" s="67" t="s">
        <v>361</v>
      </c>
    </row>
    <row r="31" spans="1:18" ht="14" thickBot="1">
      <c r="B31" s="125" t="s">
        <v>476</v>
      </c>
      <c r="C31" s="68" t="s">
        <v>362</v>
      </c>
    </row>
    <row r="32" spans="1:18">
      <c r="A32" s="3"/>
      <c r="B32" s="179">
        <v>650</v>
      </c>
      <c r="C32" s="126">
        <f>SQRT(1.35*291*(B32+273))</f>
        <v>602.16322537996291</v>
      </c>
    </row>
    <row r="33" spans="1:9" ht="14" thickBot="1"/>
    <row r="34" spans="1:9" ht="14" thickBot="1">
      <c r="A34" s="69" t="s">
        <v>364</v>
      </c>
      <c r="B34" s="70" t="s">
        <v>170</v>
      </c>
    </row>
    <row r="35" spans="1:9" ht="14" thickBot="1">
      <c r="A35" s="180">
        <v>360</v>
      </c>
      <c r="B35" s="71">
        <f>A35/25.4</f>
        <v>14.173228346456694</v>
      </c>
    </row>
    <row r="36" spans="1:9" ht="14" thickBot="1">
      <c r="A36" s="69" t="s">
        <v>287</v>
      </c>
      <c r="B36" s="70" t="s">
        <v>448</v>
      </c>
    </row>
    <row r="37" spans="1:9">
      <c r="A37" s="181">
        <v>1</v>
      </c>
      <c r="B37" s="156">
        <f>A37*25.4</f>
        <v>25.4</v>
      </c>
    </row>
    <row r="40" spans="1:9" ht="14" thickBot="1"/>
    <row r="41" spans="1:9" ht="16">
      <c r="A41" s="621" t="s">
        <v>289</v>
      </c>
      <c r="B41" s="620" t="s">
        <v>314</v>
      </c>
      <c r="C41" s="338" t="s">
        <v>370</v>
      </c>
      <c r="D41" s="613" t="s">
        <v>484</v>
      </c>
      <c r="E41" s="614" t="s">
        <v>421</v>
      </c>
      <c r="F41" s="615" t="s">
        <v>485</v>
      </c>
      <c r="G41" s="615" t="s">
        <v>486</v>
      </c>
      <c r="H41" s="616" t="s">
        <v>487</v>
      </c>
      <c r="I41" s="617"/>
    </row>
    <row r="42" spans="1:9">
      <c r="B42" s="563" t="s">
        <v>483</v>
      </c>
      <c r="C42" s="564" t="s">
        <v>495</v>
      </c>
    </row>
    <row r="43" spans="1:9" ht="16" thickBot="1">
      <c r="B43" s="618" t="s">
        <v>421</v>
      </c>
      <c r="C43" s="619" t="s">
        <v>420</v>
      </c>
    </row>
    <row r="60" spans="14:14">
      <c r="N60" s="344"/>
    </row>
    <row r="61" spans="14:14">
      <c r="N61" s="344"/>
    </row>
  </sheetData>
  <phoneticPr fontId="14" type="noConversion"/>
  <hyperlinks>
    <hyperlink ref="E41" r:id="rId1"/>
    <hyperlink ref="F41" r:id="rId2"/>
    <hyperlink ref="G41" r:id="rId3"/>
    <hyperlink ref="H41" r:id="rId4"/>
    <hyperlink ref="B43" r:id="rId5"/>
    <hyperlink ref="C43" r:id="rId6"/>
  </hyperlinks>
  <pageMargins left="0.75" right="0.75" top="1" bottom="1" header="0.5" footer="0.5"/>
  <headerFooter>
    <oddHeader>&amp;CPipe Timing Calculator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zoomScaleNormal="90" zoomScalePageLayoutView="90" workbookViewId="0">
      <selection activeCell="H43" sqref="H43"/>
    </sheetView>
  </sheetViews>
  <sheetFormatPr baseColWidth="10" defaultRowHeight="13" x14ac:dyDescent="0"/>
  <cols>
    <col min="1" max="2" width="13.42578125" customWidth="1"/>
    <col min="3" max="3" width="11.85546875" customWidth="1"/>
    <col min="4" max="4" width="14.42578125" customWidth="1"/>
    <col min="5" max="5" width="10.7109375" customWidth="1"/>
    <col min="6" max="6" width="15.85546875" customWidth="1"/>
    <col min="7" max="7" width="7.140625" customWidth="1"/>
    <col min="8" max="8" width="9.42578125" customWidth="1"/>
    <col min="9" max="9" width="12.42578125" customWidth="1"/>
    <col min="10" max="10" width="11.140625" customWidth="1"/>
    <col min="11" max="11" width="8.7109375" customWidth="1"/>
    <col min="12" max="12" width="9.28515625" customWidth="1"/>
    <col min="13" max="13" width="10.5703125" customWidth="1"/>
    <col min="14" max="14" width="10" customWidth="1"/>
    <col min="15" max="15" width="11.42578125" customWidth="1"/>
    <col min="16" max="16" width="10.5703125" customWidth="1"/>
    <col min="17" max="17" width="11.5703125" customWidth="1"/>
    <col min="18" max="18" width="8.5703125" customWidth="1"/>
    <col min="19" max="19" width="9.42578125" customWidth="1"/>
    <col min="20" max="21" width="9.5703125" customWidth="1"/>
    <col min="22" max="22" width="8.140625" customWidth="1"/>
  </cols>
  <sheetData>
    <row r="1" spans="1:22">
      <c r="H1" s="288" t="s">
        <v>423</v>
      </c>
      <c r="I1" s="289" t="s">
        <v>422</v>
      </c>
    </row>
    <row r="2" spans="1:22" ht="15" thickBot="1">
      <c r="B2" s="290"/>
      <c r="C2" s="20"/>
      <c r="D2" s="291" t="s">
        <v>235</v>
      </c>
      <c r="E2" s="306" t="s">
        <v>189</v>
      </c>
      <c r="F2" s="159" t="s">
        <v>26</v>
      </c>
      <c r="G2" s="1"/>
      <c r="H2" s="340" t="s">
        <v>258</v>
      </c>
      <c r="I2" s="339" t="s">
        <v>408</v>
      </c>
    </row>
    <row r="3" spans="1:22">
      <c r="B3" s="117"/>
      <c r="C3" s="117"/>
      <c r="D3" s="20"/>
      <c r="F3" s="3"/>
      <c r="G3" s="4"/>
    </row>
    <row r="4" spans="1:22" ht="14">
      <c r="A4" s="105" t="s">
        <v>259</v>
      </c>
      <c r="B4" s="6" t="s">
        <v>207</v>
      </c>
      <c r="C4" s="8" t="s">
        <v>216</v>
      </c>
      <c r="D4" s="8" t="s">
        <v>160</v>
      </c>
      <c r="E4" s="8" t="s">
        <v>462</v>
      </c>
      <c r="F4" s="8" t="s">
        <v>398</v>
      </c>
      <c r="G4" s="8" t="s">
        <v>196</v>
      </c>
      <c r="H4" s="8" t="s">
        <v>197</v>
      </c>
      <c r="I4" s="8" t="s">
        <v>198</v>
      </c>
      <c r="J4" s="8" t="s">
        <v>58</v>
      </c>
      <c r="K4" s="8" t="s">
        <v>8</v>
      </c>
      <c r="L4" s="8" t="s">
        <v>256</v>
      </c>
    </row>
    <row r="5" spans="1:22">
      <c r="A5" s="2">
        <v>91.6</v>
      </c>
      <c r="B5" s="9" t="s">
        <v>257</v>
      </c>
      <c r="C5" s="10">
        <f>A5-Q18</f>
        <v>88.0734603858307</v>
      </c>
      <c r="D5" s="10">
        <f>C5-Q18</f>
        <v>84.546920771661405</v>
      </c>
      <c r="E5" s="10">
        <f>D5-Q18</f>
        <v>81.02038115749211</v>
      </c>
      <c r="F5" s="10">
        <f>E5-Q18</f>
        <v>77.493841543322816</v>
      </c>
      <c r="G5" s="10">
        <f>F5-Q18</f>
        <v>73.967301929153521</v>
      </c>
      <c r="H5" s="330">
        <f>G5-Q18</f>
        <v>70.440762314984227</v>
      </c>
      <c r="I5" s="330">
        <f>H5-Q18</f>
        <v>66.914222700814932</v>
      </c>
      <c r="J5" s="330">
        <f>I5-Q18</f>
        <v>63.38768308664563</v>
      </c>
      <c r="K5" s="330">
        <f>J5-Q18</f>
        <v>59.861143472476328</v>
      </c>
      <c r="L5" s="330">
        <f>K5-Q18</f>
        <v>56.334603858307027</v>
      </c>
    </row>
    <row r="6" spans="1:22">
      <c r="A6" s="106" t="s">
        <v>32</v>
      </c>
      <c r="B6" s="18" t="s">
        <v>91</v>
      </c>
      <c r="C6" s="11">
        <f>(3.142*(A5/2)*(A5/2))-(3.142*(C5/2)*(C5/2))</f>
        <v>497.71288968525732</v>
      </c>
      <c r="D6" s="11">
        <f>(3.142*(C5/2)*(C5/2))-(3.142*(D5/2)*(D5/2))</f>
        <v>478.17517701262932</v>
      </c>
      <c r="E6" s="11">
        <f t="shared" ref="E6:L6" si="0">(3.142*(D5/2)*(D5/2))-(3.142*(E5/2)*(E5/2))</f>
        <v>458.63746433999768</v>
      </c>
      <c r="F6" s="11">
        <f t="shared" si="0"/>
        <v>439.09975166736876</v>
      </c>
      <c r="G6" s="11">
        <f t="shared" si="0"/>
        <v>419.56203899473894</v>
      </c>
      <c r="H6" s="259">
        <f t="shared" si="0"/>
        <v>400.02432632210912</v>
      </c>
      <c r="I6" s="259">
        <f t="shared" si="0"/>
        <v>380.48661364947975</v>
      </c>
      <c r="J6" s="33">
        <f t="shared" si="0"/>
        <v>360.94890097685084</v>
      </c>
      <c r="K6" s="33">
        <f t="shared" si="0"/>
        <v>341.41118830422101</v>
      </c>
      <c r="L6" s="33">
        <f t="shared" si="0"/>
        <v>321.87347563159165</v>
      </c>
    </row>
    <row r="7" spans="1:22">
      <c r="A7" s="313">
        <v>10</v>
      </c>
      <c r="B7" s="114" t="s">
        <v>36</v>
      </c>
      <c r="C7" s="505">
        <f>(C6*100)/(3.142*(A5/2)*(A5/2))</f>
        <v>7.5516482292660925</v>
      </c>
      <c r="D7" s="505">
        <f>(D6*100)/(3.142*(A5/2)*(A5/2))</f>
        <v>7.2552083813821779</v>
      </c>
      <c r="E7" s="505">
        <f>(E6*100)/(3.142*(A5/2)*(A5/2))</f>
        <v>6.9587685334982092</v>
      </c>
      <c r="F7" s="505">
        <f>(F6*100)/(3.142*(A5/2)*(A5/2))</f>
        <v>6.6623286856142814</v>
      </c>
      <c r="G7" s="505">
        <f>(G6*100)/(3.142*(A5/2)*(A5/2))</f>
        <v>6.3658888377303402</v>
      </c>
      <c r="H7" s="505">
        <f>(H6*100)/(3.142*(A5/2)*(A5/2))</f>
        <v>6.0694489898463981</v>
      </c>
      <c r="I7" s="505">
        <f>(I6*100)/(3.142*(A5/2)*(A5/2))</f>
        <v>5.7730091419624641</v>
      </c>
      <c r="J7" s="505">
        <f>(J6*100)/(3.142*(A5/2)*(A5/2))</f>
        <v>5.4765692940785362</v>
      </c>
      <c r="K7" s="505">
        <f>(K6*100)/(3.142*(A5/2)*(A5/2))</f>
        <v>5.1801294461945941</v>
      </c>
      <c r="L7" s="505">
        <f>(L6*100)/(3.142*(A5/2)*(A5/2))</f>
        <v>4.8836895983106592</v>
      </c>
    </row>
    <row r="8" spans="1:22">
      <c r="B8" s="303">
        <f>C7-D7+C7</f>
        <v>7.848088077150007</v>
      </c>
      <c r="D8" s="14"/>
      <c r="E8" s="14"/>
      <c r="F8" s="15"/>
      <c r="G8" s="14"/>
      <c r="H8" s="14"/>
    </row>
    <row r="9" spans="1:22">
      <c r="B9" s="112"/>
      <c r="D9" s="14"/>
      <c r="E9" s="14"/>
      <c r="F9" s="15"/>
      <c r="G9" s="14"/>
      <c r="H9" s="14"/>
    </row>
    <row r="10" spans="1:22">
      <c r="D10" s="14"/>
      <c r="E10" s="14"/>
      <c r="F10" s="15"/>
      <c r="G10" s="14"/>
      <c r="H10" s="14"/>
    </row>
    <row r="11" spans="1:22">
      <c r="A11" s="115" t="s">
        <v>35</v>
      </c>
      <c r="B11" s="6" t="s">
        <v>239</v>
      </c>
      <c r="C11" s="16" t="s">
        <v>85</v>
      </c>
      <c r="D11" s="16" t="s">
        <v>86</v>
      </c>
      <c r="E11" s="16" t="s">
        <v>87</v>
      </c>
      <c r="F11" s="16" t="s">
        <v>126</v>
      </c>
      <c r="G11" s="16" t="s">
        <v>464</v>
      </c>
      <c r="H11" s="16" t="s">
        <v>241</v>
      </c>
      <c r="I11" s="16" t="s">
        <v>242</v>
      </c>
      <c r="J11" s="16" t="s">
        <v>180</v>
      </c>
      <c r="K11" s="16" t="s">
        <v>279</v>
      </c>
      <c r="L11" s="16" t="s">
        <v>295</v>
      </c>
      <c r="M11" s="16" t="s">
        <v>278</v>
      </c>
      <c r="N11" s="16" t="s">
        <v>204</v>
      </c>
      <c r="O11" s="16" t="s">
        <v>200</v>
      </c>
      <c r="P11" s="16" t="s">
        <v>374</v>
      </c>
      <c r="Q11" s="16" t="s">
        <v>193</v>
      </c>
      <c r="R11" s="16" t="s">
        <v>194</v>
      </c>
      <c r="S11" s="16" t="s">
        <v>371</v>
      </c>
      <c r="T11" s="16" t="s">
        <v>372</v>
      </c>
      <c r="U11" s="16" t="s">
        <v>373</v>
      </c>
      <c r="V11" s="16" t="s">
        <v>390</v>
      </c>
    </row>
    <row r="12" spans="1:22">
      <c r="A12" s="116" t="s">
        <v>375</v>
      </c>
      <c r="B12" s="18" t="s">
        <v>205</v>
      </c>
      <c r="C12" s="113">
        <f>A13-Q19</f>
        <v>52.773460385830695</v>
      </c>
      <c r="D12" s="10">
        <f>C12-Q19</f>
        <v>49.246920771661394</v>
      </c>
      <c r="E12" s="10">
        <f>D12-Q19</f>
        <v>45.720381157492092</v>
      </c>
      <c r="F12" s="10">
        <f>E12-Q19</f>
        <v>42.19384154332279</v>
      </c>
      <c r="G12" s="10">
        <f>F12-Q19</f>
        <v>38.667301929153489</v>
      </c>
      <c r="H12" s="330">
        <f>G12-Q19</f>
        <v>35.140762314984187</v>
      </c>
      <c r="I12" s="330">
        <f>H12-Q19</f>
        <v>31.614222700814889</v>
      </c>
      <c r="J12" s="330">
        <f>I12-Q19</f>
        <v>28.08768308664559</v>
      </c>
      <c r="K12" s="330">
        <f>J12-Q19</f>
        <v>24.561143472476292</v>
      </c>
      <c r="L12" s="330">
        <f>K12-Q19</f>
        <v>21.034603858306994</v>
      </c>
      <c r="M12" s="330">
        <f>L12-Q19</f>
        <v>17.508064244137696</v>
      </c>
      <c r="N12" s="218">
        <f>M12-Q19</f>
        <v>13.981524629968396</v>
      </c>
      <c r="O12" s="330">
        <f>N12-Q19</f>
        <v>10.454985015799096</v>
      </c>
      <c r="P12" s="330">
        <f>O12-Q19</f>
        <v>6.9284454016297961</v>
      </c>
      <c r="Q12" s="330">
        <f>P12-Q19</f>
        <v>3.4019057874604965</v>
      </c>
      <c r="R12" s="330">
        <f>Q12-Q19</f>
        <v>-0.12463382670880296</v>
      </c>
      <c r="S12" s="330">
        <f>R12-Q19</f>
        <v>-3.6511734408781025</v>
      </c>
      <c r="T12" s="330">
        <f>S12-Q19</f>
        <v>-7.177713055047402</v>
      </c>
      <c r="U12" s="330">
        <f>T12-Q19</f>
        <v>-10.704252669216702</v>
      </c>
      <c r="V12" s="330">
        <f>U12-Q19</f>
        <v>-14.230792283386002</v>
      </c>
    </row>
    <row r="13" spans="1:22">
      <c r="A13" s="118">
        <v>56.3</v>
      </c>
      <c r="B13" s="9" t="s">
        <v>164</v>
      </c>
      <c r="C13" s="11">
        <f>(3.142*(A13/2)*(A13/2))-(3.142*(C12/2)*(C12/2))</f>
        <v>302.14405088000194</v>
      </c>
      <c r="D13" s="11">
        <f>(3.142*(C12/2)*(C12/2))-(3.142*(D12/2)*(D12/2))</f>
        <v>282.60633820737166</v>
      </c>
      <c r="E13" s="11">
        <f t="shared" ref="E13:K13" si="1">(3.142*(D12/2)*(D12/2))-(3.142*(E12/2)*(E12/2))</f>
        <v>263.0686255347423</v>
      </c>
      <c r="F13" s="11">
        <f t="shared" si="1"/>
        <v>243.53091286211247</v>
      </c>
      <c r="G13" s="11">
        <f t="shared" si="1"/>
        <v>223.99320018948242</v>
      </c>
      <c r="H13" s="259">
        <f t="shared" si="1"/>
        <v>204.45548751685305</v>
      </c>
      <c r="I13" s="259">
        <f t="shared" si="1"/>
        <v>184.917774844223</v>
      </c>
      <c r="J13" s="259">
        <f t="shared" si="1"/>
        <v>165.38006217159329</v>
      </c>
      <c r="K13" s="259">
        <f t="shared" si="1"/>
        <v>145.84234949896364</v>
      </c>
      <c r="L13" s="259">
        <f>(3.142*(K12/2)*(K12/2))-(3.142*(L12/2)*(L12/2))</f>
        <v>126.30463682633393</v>
      </c>
      <c r="M13" s="33">
        <f>(3.142*(L12/2)^2)-(3.142*(M12/2)^2)</f>
        <v>106.76692415370425</v>
      </c>
      <c r="N13" s="226">
        <f t="shared" ref="N13:V13" si="2">(3.142*(M12/2)^2)-(3.142*(N12/2)^2)</f>
        <v>87.229211481074572</v>
      </c>
      <c r="O13" s="259">
        <f t="shared" si="2"/>
        <v>67.691498808444905</v>
      </c>
      <c r="P13" s="259">
        <f t="shared" si="2"/>
        <v>48.153786135815174</v>
      </c>
      <c r="Q13" s="259">
        <f t="shared" si="2"/>
        <v>28.616073463185458</v>
      </c>
      <c r="R13" s="259">
        <f t="shared" si="2"/>
        <v>9.0783607905557524</v>
      </c>
      <c r="S13" s="259">
        <f t="shared" si="2"/>
        <v>-10.459351882073952</v>
      </c>
      <c r="T13" s="259">
        <f t="shared" si="2"/>
        <v>-29.997064554703663</v>
      </c>
      <c r="U13" s="259">
        <f t="shared" si="2"/>
        <v>-49.534777227333365</v>
      </c>
      <c r="V13" s="259">
        <f t="shared" si="2"/>
        <v>-69.072489899963102</v>
      </c>
    </row>
    <row r="14" spans="1:22">
      <c r="A14" s="5" t="s">
        <v>465</v>
      </c>
      <c r="B14" s="13" t="s">
        <v>36</v>
      </c>
      <c r="C14" s="505">
        <f>(C13*100)/(3.142*(A5/2)*(A5/2))</f>
        <v>4.5843409606171521</v>
      </c>
      <c r="D14" s="505">
        <f>(D13*100)/(3.142*(A5/2)*(A5/2))</f>
        <v>4.287901112733203</v>
      </c>
      <c r="E14" s="505">
        <f>(E13*100)/(3.142*(A5/2)*(A5/2))</f>
        <v>3.9914612648492684</v>
      </c>
      <c r="F14" s="505">
        <f>(F13*100)/(3.142*(A5/2)*(A5/2))</f>
        <v>3.6950214169653264</v>
      </c>
      <c r="G14" s="505">
        <f>(G13*100)/(3.142*(A5/2)*(A5/2))</f>
        <v>3.3985815690813812</v>
      </c>
      <c r="H14" s="505">
        <f>(H13*100)/(3.142*(A5/2)*(A5/2))</f>
        <v>3.1021417211974471</v>
      </c>
      <c r="I14" s="505">
        <f>(I13*100)/(3.142*(A5/2)*(A5/2))</f>
        <v>2.805701873313502</v>
      </c>
      <c r="J14" s="505">
        <f>(J13*100)/(3.142*(A5/2)*(A5/2))</f>
        <v>2.5092620254295621</v>
      </c>
      <c r="K14" s="505">
        <f>(K13*100)/(3.142*(A5/2)*(A5/2))</f>
        <v>2.2128221775456227</v>
      </c>
      <c r="L14" s="505">
        <f>(L13*100)/(3.142*(A5/2)*(A5/2))</f>
        <v>1.9163823296616829</v>
      </c>
      <c r="M14" s="505">
        <f>(M13*100)/((3.142*(A5/2)^2))</f>
        <v>1.6199424817777435</v>
      </c>
      <c r="N14" s="505">
        <f>(N13*100)/((3.142*(A5/2)^2))</f>
        <v>1.3235026338938038</v>
      </c>
      <c r="O14" s="505">
        <f>(O13*100)/((3.142*(A5/2)^2))</f>
        <v>1.0270627860098647</v>
      </c>
      <c r="P14" s="505">
        <f>(P13*100)/((3.142*(A5/2)^2))</f>
        <v>0.73062293812592438</v>
      </c>
      <c r="Q14" s="505">
        <f>(Q13*100)/((3.142*(A5/2)^2))</f>
        <v>0.43418309024198437</v>
      </c>
      <c r="R14" s="505">
        <f>(R13*100)/((3.142*(A5/2)^2))</f>
        <v>0.13774324235804453</v>
      </c>
      <c r="S14" s="505">
        <f>(S13*100)/((3.142*(A5/2)^2))</f>
        <v>-0.15869660552589532</v>
      </c>
      <c r="T14" s="505">
        <f>(T13*100)/((3.142*(A5/2)^2))</f>
        <v>-0.45513645340983522</v>
      </c>
      <c r="U14" s="505">
        <f>(U13*100)/((3.142*(A5/2)^2))</f>
        <v>-0.75157630129377495</v>
      </c>
      <c r="V14" s="505">
        <f>(V13*100)/((3.142*(A5/2)^2))</f>
        <v>-1.0480161491777154</v>
      </c>
    </row>
    <row r="15" spans="1:22" ht="14">
      <c r="A15" s="313">
        <v>10</v>
      </c>
      <c r="B15" s="292">
        <f>C14-D14+C14</f>
        <v>4.8807808085011013</v>
      </c>
      <c r="N15" s="157"/>
      <c r="O15" s="1"/>
    </row>
    <row r="16" spans="1:22" ht="14">
      <c r="B16" s="112"/>
      <c r="N16" s="382" t="s">
        <v>77</v>
      </c>
      <c r="O16" s="31">
        <v>18.5</v>
      </c>
      <c r="Q16" s="309" t="s">
        <v>436</v>
      </c>
      <c r="R16" s="4"/>
    </row>
    <row r="17" spans="1:19" ht="14">
      <c r="N17" s="382" t="s">
        <v>268</v>
      </c>
      <c r="O17" s="31">
        <v>21</v>
      </c>
      <c r="P17" s="91"/>
      <c r="Q17" s="17" t="s">
        <v>158</v>
      </c>
      <c r="R17" s="4"/>
    </row>
    <row r="18" spans="1:19" ht="14">
      <c r="A18" s="300" t="s">
        <v>466</v>
      </c>
      <c r="B18" s="6" t="s">
        <v>355</v>
      </c>
      <c r="C18" s="16" t="s">
        <v>85</v>
      </c>
      <c r="D18" s="16" t="s">
        <v>365</v>
      </c>
      <c r="E18" s="16" t="s">
        <v>87</v>
      </c>
      <c r="F18" s="16" t="s">
        <v>226</v>
      </c>
      <c r="G18" s="16" t="s">
        <v>464</v>
      </c>
      <c r="H18" s="16" t="s">
        <v>241</v>
      </c>
      <c r="I18" s="16" t="s">
        <v>198</v>
      </c>
      <c r="J18" s="16" t="s">
        <v>58</v>
      </c>
      <c r="K18" s="16" t="s">
        <v>8</v>
      </c>
      <c r="L18" s="16" t="s">
        <v>256</v>
      </c>
      <c r="N18" s="382" t="s">
        <v>100</v>
      </c>
      <c r="O18" s="538">
        <v>17.5</v>
      </c>
      <c r="Q18" s="557">
        <f>(TAN(RADIANS(A7)))*20</f>
        <v>3.5265396141692995</v>
      </c>
      <c r="R18" s="34"/>
    </row>
    <row r="19" spans="1:19" ht="14">
      <c r="A19" s="300" t="s">
        <v>240</v>
      </c>
      <c r="B19" s="9" t="s">
        <v>257</v>
      </c>
      <c r="C19" s="113">
        <f>A20-Q20</f>
        <v>0</v>
      </c>
      <c r="D19" s="113">
        <f>C19-Q20</f>
        <v>0</v>
      </c>
      <c r="E19" s="113">
        <f>D19-Q20</f>
        <v>0</v>
      </c>
      <c r="F19" s="113">
        <f>E19-Q20</f>
        <v>0</v>
      </c>
      <c r="G19" s="113">
        <f>F19-Q20</f>
        <v>0</v>
      </c>
      <c r="H19" s="330">
        <f>G19-Q20</f>
        <v>0</v>
      </c>
      <c r="I19" s="330">
        <f>H19-Q20</f>
        <v>0</v>
      </c>
      <c r="J19" s="330">
        <f>I19-Q20</f>
        <v>0</v>
      </c>
      <c r="K19" s="330">
        <f>J19-Q20</f>
        <v>0</v>
      </c>
      <c r="L19" s="330">
        <f>K19-Q20</f>
        <v>0</v>
      </c>
      <c r="N19" s="28" t="s">
        <v>48</v>
      </c>
      <c r="O19" s="330">
        <f>10*(O17-O16)/(O17-O18)</f>
        <v>7.1428571428571432</v>
      </c>
      <c r="Q19" s="557">
        <f>(TAN(RADIANS(A15)))*20</f>
        <v>3.5265396141692995</v>
      </c>
    </row>
    <row r="20" spans="1:19" ht="14">
      <c r="A20" s="302">
        <v>0</v>
      </c>
      <c r="B20" s="9" t="s">
        <v>164</v>
      </c>
      <c r="C20" s="11">
        <f>(3.142*(A20/2)^2)-(3.142*(C19/2)^2)</f>
        <v>0</v>
      </c>
      <c r="D20" s="11">
        <f t="shared" ref="D20:L20" si="3">(3.142*(C19/2)*(C19/2))-(3.142*(D19/2)*(D19/2))</f>
        <v>0</v>
      </c>
      <c r="E20" s="11">
        <f t="shared" si="3"/>
        <v>0</v>
      </c>
      <c r="F20" s="11">
        <f t="shared" si="3"/>
        <v>0</v>
      </c>
      <c r="G20" s="11">
        <f t="shared" si="3"/>
        <v>0</v>
      </c>
      <c r="H20" s="259">
        <f t="shared" si="3"/>
        <v>0</v>
      </c>
      <c r="I20" s="259">
        <f t="shared" si="3"/>
        <v>0</v>
      </c>
      <c r="J20" s="259">
        <f t="shared" si="3"/>
        <v>0</v>
      </c>
      <c r="K20" s="259">
        <f t="shared" si="3"/>
        <v>0</v>
      </c>
      <c r="L20" s="259">
        <f t="shared" si="3"/>
        <v>0</v>
      </c>
      <c r="N20" s="157"/>
      <c r="Q20" s="558">
        <f>(TAN(RADIANS(A22)))*20</f>
        <v>0</v>
      </c>
    </row>
    <row r="21" spans="1:19" ht="14">
      <c r="A21" s="301" t="s">
        <v>169</v>
      </c>
      <c r="B21" s="13" t="s">
        <v>36</v>
      </c>
      <c r="C21" s="505">
        <f>(C20*100)/((3.142*(A5/2)^2))</f>
        <v>0</v>
      </c>
      <c r="D21" s="505">
        <f>(D20*100)/((3.142*(A5/2)^2))</f>
        <v>0</v>
      </c>
      <c r="E21" s="505">
        <f>(E20*100)/((3.142*(A5/2)^2))</f>
        <v>0</v>
      </c>
      <c r="F21" s="505">
        <f>(F20*100)/((3.142*(A5/2)^2))</f>
        <v>0</v>
      </c>
      <c r="G21" s="505">
        <f>(G20*100)/((3.142*(A5/2)^2))</f>
        <v>0</v>
      </c>
      <c r="H21" s="505">
        <f>(H20*100)/((3.142*(A5/2)^2))</f>
        <v>0</v>
      </c>
      <c r="I21" s="505">
        <f>(I20*100)/((3.142*(A5/2)^2))</f>
        <v>0</v>
      </c>
      <c r="J21" s="505">
        <f>(J20*100)/((3.142*(A5/2)^2))</f>
        <v>0</v>
      </c>
      <c r="K21" s="505">
        <f>(K20*100)/((3.142*(A5/2)^2))</f>
        <v>0</v>
      </c>
      <c r="L21" s="505">
        <f>(L20*100)/((3.142*(A5/2)^2))</f>
        <v>0</v>
      </c>
      <c r="N21" s="536" t="s">
        <v>108</v>
      </c>
      <c r="O21" s="537" t="s">
        <v>435</v>
      </c>
      <c r="Q21" s="558">
        <f>(TAN(RADIANS(A29)))*20</f>
        <v>0</v>
      </c>
    </row>
    <row r="22" spans="1:19" ht="14">
      <c r="A22" s="313">
        <v>0</v>
      </c>
      <c r="B22" s="292">
        <f>C21-D21+C21</f>
        <v>0</v>
      </c>
      <c r="M22" s="535" t="s">
        <v>399</v>
      </c>
      <c r="N22" s="28" t="s">
        <v>349</v>
      </c>
      <c r="O22" s="16" t="s">
        <v>350</v>
      </c>
    </row>
    <row r="23" spans="1:19" ht="14">
      <c r="B23" s="112"/>
      <c r="N23" s="556">
        <f>0.9*(SQRT(H35*(I35/1000)))</f>
        <v>31.81980515339464</v>
      </c>
      <c r="O23" s="218">
        <f>0.8*(SQRT(H35*(I35/1000)))</f>
        <v>28.284271247461902</v>
      </c>
    </row>
    <row r="25" spans="1:19">
      <c r="A25" s="300" t="s">
        <v>429</v>
      </c>
      <c r="B25" s="6" t="s">
        <v>356</v>
      </c>
      <c r="C25" s="16" t="s">
        <v>85</v>
      </c>
      <c r="D25" s="16" t="s">
        <v>365</v>
      </c>
      <c r="E25" s="16" t="s">
        <v>87</v>
      </c>
      <c r="F25" s="16" t="s">
        <v>226</v>
      </c>
      <c r="G25" s="16" t="s">
        <v>464</v>
      </c>
      <c r="H25" s="16" t="s">
        <v>241</v>
      </c>
      <c r="I25" s="16" t="s">
        <v>198</v>
      </c>
      <c r="J25" s="16" t="s">
        <v>58</v>
      </c>
      <c r="K25" s="16" t="s">
        <v>8</v>
      </c>
      <c r="L25" s="16" t="s">
        <v>256</v>
      </c>
    </row>
    <row r="26" spans="1:19">
      <c r="A26" s="300" t="s">
        <v>430</v>
      </c>
      <c r="B26" s="9" t="s">
        <v>257</v>
      </c>
      <c r="C26" s="268">
        <f>A27-Q21</f>
        <v>0</v>
      </c>
      <c r="D26" s="268">
        <f>C26-Q21</f>
        <v>0</v>
      </c>
      <c r="E26" s="268">
        <f>D26-Q21</f>
        <v>0</v>
      </c>
      <c r="F26" s="268">
        <f>E26-Q21</f>
        <v>0</v>
      </c>
      <c r="G26" s="268">
        <f>F26-Q21</f>
        <v>0</v>
      </c>
      <c r="H26" s="330">
        <f>G26-Q21</f>
        <v>0</v>
      </c>
      <c r="I26" s="330">
        <f>H26-Q21</f>
        <v>0</v>
      </c>
      <c r="J26" s="330">
        <f>I26-Q21</f>
        <v>0</v>
      </c>
      <c r="K26" s="330">
        <f>J26-Q21</f>
        <v>0</v>
      </c>
      <c r="L26" s="330">
        <f>K26-Q21</f>
        <v>0</v>
      </c>
    </row>
    <row r="27" spans="1:19">
      <c r="A27" s="302">
        <v>0</v>
      </c>
      <c r="B27" s="9" t="s">
        <v>164</v>
      </c>
      <c r="C27" s="259">
        <f>(3.142*(A27/2)^2)-(3.142*(C26/2)^2)</f>
        <v>0</v>
      </c>
      <c r="D27" s="259">
        <f t="shared" ref="D27:L27" si="4">(3.142*(C26/2)*(C26/2))-(3.142*(D26/2)*(D26/2))</f>
        <v>0</v>
      </c>
      <c r="E27" s="259">
        <f t="shared" si="4"/>
        <v>0</v>
      </c>
      <c r="F27" s="259">
        <f t="shared" si="4"/>
        <v>0</v>
      </c>
      <c r="G27" s="259">
        <f t="shared" si="4"/>
        <v>0</v>
      </c>
      <c r="H27" s="259">
        <f t="shared" si="4"/>
        <v>0</v>
      </c>
      <c r="I27" s="259">
        <f t="shared" si="4"/>
        <v>0</v>
      </c>
      <c r="J27" s="259">
        <f t="shared" si="4"/>
        <v>0</v>
      </c>
      <c r="K27" s="259">
        <f t="shared" si="4"/>
        <v>0</v>
      </c>
      <c r="L27" s="259">
        <f t="shared" si="4"/>
        <v>0</v>
      </c>
    </row>
    <row r="28" spans="1:19">
      <c r="A28" s="301" t="s">
        <v>472</v>
      </c>
      <c r="B28" s="13" t="s">
        <v>36</v>
      </c>
      <c r="C28" s="505">
        <f>(C27*100)/((3.142*(A5/2)^2))</f>
        <v>0</v>
      </c>
      <c r="D28" s="505">
        <f>(D27*100)/((3.142*(A5/2)^2))</f>
        <v>0</v>
      </c>
      <c r="E28" s="505">
        <f>(E27*100)/((3.142*(A5/2)^2))</f>
        <v>0</v>
      </c>
      <c r="F28" s="505">
        <f>(F27*100)/((3.142*(A5/2)^2))</f>
        <v>0</v>
      </c>
      <c r="G28" s="505">
        <f>(G27*100)/((3.142*(A5/2)^2))</f>
        <v>0</v>
      </c>
      <c r="H28" s="505">
        <f>(H27*100)/((3.142*(A5/2)^2))</f>
        <v>0</v>
      </c>
      <c r="I28" s="505">
        <f>(I27*100)/((3.142*(A5/2)^2))</f>
        <v>0</v>
      </c>
      <c r="J28" s="505">
        <f>(J27*100)/((3.142*(A5/2)^2))</f>
        <v>0</v>
      </c>
      <c r="K28" s="505">
        <f>(K27*100)/((3.142*(A5/2)^2))</f>
        <v>0</v>
      </c>
      <c r="L28" s="505">
        <f>(L27*100)/((3.142*(A5/2)^2))</f>
        <v>0</v>
      </c>
    </row>
    <row r="29" spans="1:19">
      <c r="A29" s="305">
        <v>0</v>
      </c>
      <c r="B29" s="292">
        <f>C28-D28+C28</f>
        <v>0</v>
      </c>
    </row>
    <row r="30" spans="1:19">
      <c r="A30" s="20"/>
      <c r="B30" s="20"/>
      <c r="D30" s="4"/>
      <c r="E30" s="4"/>
      <c r="R30" s="91"/>
    </row>
    <row r="31" spans="1:19" ht="14">
      <c r="A31" s="21" t="s">
        <v>267</v>
      </c>
      <c r="B31" s="21" t="s">
        <v>440</v>
      </c>
      <c r="D31" s="160" t="s">
        <v>389</v>
      </c>
      <c r="E31" s="161" t="s">
        <v>189</v>
      </c>
      <c r="F31" s="159" t="s">
        <v>89</v>
      </c>
      <c r="N31" s="157"/>
      <c r="R31" s="91"/>
    </row>
    <row r="32" spans="1:19" ht="14">
      <c r="A32" s="22" t="s">
        <v>285</v>
      </c>
      <c r="B32" s="542" t="s">
        <v>31</v>
      </c>
      <c r="E32" s="25" t="s">
        <v>286</v>
      </c>
      <c r="F32" s="85" t="s">
        <v>287</v>
      </c>
      <c r="K32" s="330">
        <f>SQRT(((6.2*3.14*(C35/2)*(C35/2))*4)/3.14)</f>
        <v>91.631261041197064</v>
      </c>
      <c r="L32" s="78" t="s">
        <v>277</v>
      </c>
      <c r="M32" s="79" t="s">
        <v>311</v>
      </c>
      <c r="N32" s="220" t="s">
        <v>49</v>
      </c>
      <c r="O32" s="533" t="s">
        <v>165</v>
      </c>
      <c r="P32" s="78" t="s">
        <v>166</v>
      </c>
      <c r="Q32" s="79" t="s">
        <v>231</v>
      </c>
      <c r="R32" s="91"/>
      <c r="S32" s="20"/>
    </row>
    <row r="33" spans="1:19" ht="14">
      <c r="C33" s="84" t="s">
        <v>190</v>
      </c>
      <c r="E33" s="25" t="s">
        <v>51</v>
      </c>
      <c r="F33" s="538">
        <v>1</v>
      </c>
      <c r="J33" s="27" t="s">
        <v>272</v>
      </c>
      <c r="K33" s="73" t="s">
        <v>52</v>
      </c>
      <c r="L33" s="27" t="s">
        <v>382</v>
      </c>
      <c r="M33" s="27" t="s">
        <v>383</v>
      </c>
      <c r="N33" s="221" t="s">
        <v>222</v>
      </c>
      <c r="O33" s="27" t="s">
        <v>379</v>
      </c>
      <c r="P33" s="534" t="s">
        <v>334</v>
      </c>
      <c r="Q33" s="27" t="s">
        <v>154</v>
      </c>
      <c r="R33" s="345"/>
      <c r="S33" s="345"/>
    </row>
    <row r="34" spans="1:19" ht="14">
      <c r="C34" s="85" t="s">
        <v>301</v>
      </c>
      <c r="D34" s="119" t="s">
        <v>475</v>
      </c>
      <c r="E34" s="7" t="s">
        <v>244</v>
      </c>
      <c r="F34" s="372" t="s">
        <v>448</v>
      </c>
      <c r="H34" s="5" t="s">
        <v>353</v>
      </c>
      <c r="I34" s="29" t="s">
        <v>74</v>
      </c>
      <c r="J34" s="30" t="s">
        <v>148</v>
      </c>
      <c r="K34" s="74" t="s">
        <v>405</v>
      </c>
      <c r="L34" s="30" t="s">
        <v>297</v>
      </c>
      <c r="M34" s="30" t="s">
        <v>384</v>
      </c>
      <c r="N34" s="222" t="s">
        <v>47</v>
      </c>
      <c r="O34" s="30" t="s">
        <v>47</v>
      </c>
      <c r="P34" s="30" t="s">
        <v>47</v>
      </c>
      <c r="Q34" s="30" t="s">
        <v>155</v>
      </c>
      <c r="R34" s="345"/>
      <c r="S34" s="345"/>
    </row>
    <row r="35" spans="1:19">
      <c r="C35" s="540">
        <v>36.799999999999997</v>
      </c>
      <c r="D35" s="313">
        <v>4</v>
      </c>
      <c r="E35" s="539">
        <f>(TAN(RADIANS(D35)))*20</f>
        <v>1.3985362388702083</v>
      </c>
      <c r="F35" s="219">
        <f>F33*25.4</f>
        <v>25.4</v>
      </c>
      <c r="H35" s="31">
        <v>125</v>
      </c>
      <c r="I35" s="31">
        <v>10000</v>
      </c>
      <c r="J35" s="107">
        <f>2*SQRT((0.00085*I35*H35)/3.14)</f>
        <v>36.789987560658069</v>
      </c>
      <c r="K35" s="32">
        <f>SQRT(((6.2*3.14*(J35/2)*(J35/2))*4)/3.14)</f>
        <v>91.606330268289469</v>
      </c>
      <c r="L35" s="218">
        <f>2*SQRT(((3.14*((N35/2)^2))*1.34)/3.14)</f>
        <v>17.703286966740151</v>
      </c>
      <c r="M35" s="218">
        <f>2*SQRT(((3.14*((O35/2)^2))*1.34)/3.14)</f>
        <v>24.832903998910567</v>
      </c>
      <c r="N35" s="218">
        <f>2*SQRT((((H35-50)/50)*52+92)*(1+((I35-9000)/1500)*0.12)/3.14)</f>
        <v>15.293310639572825</v>
      </c>
      <c r="O35" s="218">
        <f>2*SQRT((((H35-50)/50)*107+174)*(1+((I35-9000)/1500)*0.12)/3.14)</f>
        <v>21.452361680151931</v>
      </c>
      <c r="P35" s="218">
        <f>2*SQRT(((3.14*((N35/2)^2))*0.73)/3.14)</f>
        <v>13.066610338281466</v>
      </c>
      <c r="Q35" s="218">
        <f>2*SQRT(((3.14*((O35/2)^2))*0.73)/3.14)</f>
        <v>18.328905854112438</v>
      </c>
      <c r="R35" s="3"/>
      <c r="S35" s="3"/>
    </row>
    <row r="36" spans="1:19">
      <c r="A36" s="4"/>
      <c r="D36" t="s">
        <v>406</v>
      </c>
    </row>
    <row r="37" spans="1:19">
      <c r="A37" s="6" t="s">
        <v>380</v>
      </c>
      <c r="B37" s="8" t="s">
        <v>407</v>
      </c>
      <c r="C37" s="8" t="s">
        <v>139</v>
      </c>
      <c r="D37" s="8" t="s">
        <v>140</v>
      </c>
      <c r="E37" s="8" t="s">
        <v>141</v>
      </c>
      <c r="F37" s="8" t="s">
        <v>360</v>
      </c>
      <c r="G37" s="8" t="s">
        <v>65</v>
      </c>
      <c r="H37" s="8" t="s">
        <v>66</v>
      </c>
      <c r="I37" s="8" t="s">
        <v>67</v>
      </c>
      <c r="J37" s="8" t="s">
        <v>68</v>
      </c>
      <c r="K37" s="8" t="s">
        <v>69</v>
      </c>
      <c r="L37" s="8" t="s">
        <v>70</v>
      </c>
      <c r="M37" s="8" t="s">
        <v>381</v>
      </c>
      <c r="N37" s="8" t="s">
        <v>346</v>
      </c>
      <c r="O37" s="8" t="s">
        <v>347</v>
      </c>
      <c r="P37" s="8" t="s">
        <v>378</v>
      </c>
      <c r="Q37" s="8" t="s">
        <v>62</v>
      </c>
    </row>
    <row r="38" spans="1:19">
      <c r="A38" s="9" t="s">
        <v>248</v>
      </c>
      <c r="B38" s="26">
        <f>C35</f>
        <v>36.799999999999997</v>
      </c>
      <c r="C38" s="10">
        <f>B38+E35</f>
        <v>38.198536238870204</v>
      </c>
      <c r="D38" s="10">
        <f>C38+E35</f>
        <v>39.597072477740412</v>
      </c>
      <c r="E38" s="10">
        <f>D38+E35</f>
        <v>40.995608716610619</v>
      </c>
      <c r="F38" s="10">
        <f>E38+E35</f>
        <v>42.394144955480826</v>
      </c>
      <c r="G38" s="10">
        <f>F38+E35</f>
        <v>43.792681194351033</v>
      </c>
      <c r="H38" s="10">
        <f>G38+E35</f>
        <v>45.19121743322124</v>
      </c>
      <c r="I38" s="10">
        <f>H38+E35</f>
        <v>46.589753672091447</v>
      </c>
      <c r="J38" s="10">
        <f>I38+E35</f>
        <v>47.988289910961655</v>
      </c>
      <c r="K38" s="10">
        <f>J38+E35</f>
        <v>49.386826149831862</v>
      </c>
      <c r="L38" s="10">
        <f>K38+E35</f>
        <v>50.785362388702069</v>
      </c>
      <c r="M38" s="10">
        <f>L38+E35</f>
        <v>52.183898627572276</v>
      </c>
      <c r="N38" s="10">
        <f>M38+E35</f>
        <v>53.582434866442483</v>
      </c>
      <c r="O38" s="10">
        <f>N38+E35</f>
        <v>54.98097110531269</v>
      </c>
      <c r="P38" s="10">
        <f>O38+E35</f>
        <v>56.379507344182898</v>
      </c>
      <c r="Q38" s="10">
        <f>P38+E35</f>
        <v>57.778043583053105</v>
      </c>
    </row>
    <row r="39" spans="1:19">
      <c r="A39" s="9" t="s">
        <v>253</v>
      </c>
      <c r="B39" s="11">
        <f>3.142*(B38/2)*(B38/2)</f>
        <v>1063.7555199999999</v>
      </c>
      <c r="C39" s="11">
        <f t="shared" ref="C39:Q39" si="5">3.142*(C38/2)*(C38/2)</f>
        <v>1146.145178157336</v>
      </c>
      <c r="D39" s="11">
        <f t="shared" si="5"/>
        <v>1231.607560888234</v>
      </c>
      <c r="E39" s="11">
        <f t="shared" si="5"/>
        <v>1320.1426681926935</v>
      </c>
      <c r="F39" s="11">
        <f t="shared" si="5"/>
        <v>1411.7505000707147</v>
      </c>
      <c r="G39" s="11">
        <f t="shared" si="5"/>
        <v>1506.4310565222975</v>
      </c>
      <c r="H39" s="11">
        <f t="shared" si="5"/>
        <v>1604.1843375474414</v>
      </c>
      <c r="I39" s="11">
        <f t="shared" si="5"/>
        <v>1705.0103431461475</v>
      </c>
      <c r="J39" s="11">
        <f t="shared" si="5"/>
        <v>1808.909073318415</v>
      </c>
      <c r="K39" s="11">
        <f t="shared" si="5"/>
        <v>1915.8805280642441</v>
      </c>
      <c r="L39" s="33">
        <f t="shared" si="5"/>
        <v>2025.9247073836345</v>
      </c>
      <c r="M39" s="33">
        <f>3.142*(M38/2)*(M38/2)</f>
        <v>2139.041611276587</v>
      </c>
      <c r="N39" s="33">
        <f>3.142*(N38/2)*(N38/2)</f>
        <v>2255.231239743101</v>
      </c>
      <c r="O39" s="33">
        <f t="shared" si="5"/>
        <v>2374.4935927831766</v>
      </c>
      <c r="P39" s="33">
        <f t="shared" si="5"/>
        <v>2496.8286703968133</v>
      </c>
      <c r="Q39" s="33">
        <f t="shared" si="5"/>
        <v>2622.2364725840121</v>
      </c>
    </row>
    <row r="40" spans="1:19">
      <c r="A40" s="9" t="s">
        <v>185</v>
      </c>
      <c r="B40" s="259">
        <v>0</v>
      </c>
      <c r="C40" s="505">
        <f t="shared" ref="C40:Q40" si="6">((C39-B39)/B39)*100</f>
        <v>7.7451685663014036</v>
      </c>
      <c r="D40" s="505">
        <f t="shared" si="6"/>
        <v>7.45650589119054</v>
      </c>
      <c r="E40" s="505">
        <f t="shared" si="6"/>
        <v>7.1885810152552159</v>
      </c>
      <c r="F40" s="505">
        <f t="shared" si="6"/>
        <v>6.9392372570939251</v>
      </c>
      <c r="G40" s="505">
        <f t="shared" si="6"/>
        <v>6.7066069002164497</v>
      </c>
      <c r="H40" s="505">
        <f t="shared" si="6"/>
        <v>6.4890643751606039</v>
      </c>
      <c r="I40" s="505">
        <f t="shared" si="6"/>
        <v>6.285188256659711</v>
      </c>
      <c r="J40" s="505">
        <f t="shared" si="6"/>
        <v>6.0937301987593671</v>
      </c>
      <c r="K40" s="505">
        <f t="shared" si="6"/>
        <v>5.9135893740414298</v>
      </c>
      <c r="L40" s="505">
        <f t="shared" si="6"/>
        <v>5.743791312007132</v>
      </c>
      <c r="M40" s="505">
        <f t="shared" si="6"/>
        <v>5.5834702780754597</v>
      </c>
      <c r="N40" s="505">
        <f t="shared" si="6"/>
        <v>5.4318545209212488</v>
      </c>
      <c r="O40" s="505">
        <f t="shared" si="6"/>
        <v>5.2882538578909131</v>
      </c>
      <c r="P40" s="505">
        <f t="shared" si="6"/>
        <v>5.1520491773677977</v>
      </c>
      <c r="Q40" s="505">
        <f t="shared" si="6"/>
        <v>5.0226835214635717</v>
      </c>
    </row>
    <row r="41" spans="1:19">
      <c r="A41" s="91"/>
      <c r="B41" s="553"/>
      <c r="C41" s="554"/>
      <c r="D41" s="554"/>
      <c r="E41" s="554"/>
      <c r="F41" s="554"/>
      <c r="G41" s="554"/>
      <c r="H41" s="554"/>
      <c r="I41" s="554"/>
      <c r="J41" s="554"/>
      <c r="K41" s="554"/>
      <c r="L41" s="554"/>
      <c r="M41" s="554"/>
      <c r="N41" s="554"/>
      <c r="O41" s="554"/>
      <c r="P41" s="554"/>
      <c r="Q41" s="554"/>
    </row>
    <row r="42" spans="1:19">
      <c r="C42" s="23"/>
      <c r="E42" s="24" t="s">
        <v>286</v>
      </c>
    </row>
    <row r="43" spans="1:19">
      <c r="C43" s="84" t="s">
        <v>190</v>
      </c>
      <c r="E43" s="422" t="s">
        <v>51</v>
      </c>
    </row>
    <row r="44" spans="1:19">
      <c r="C44" s="85" t="s">
        <v>133</v>
      </c>
      <c r="D44" s="119" t="s">
        <v>313</v>
      </c>
      <c r="E44" s="7" t="s">
        <v>244</v>
      </c>
    </row>
    <row r="45" spans="1:19">
      <c r="C45" s="540">
        <v>50.8</v>
      </c>
      <c r="D45" s="313">
        <v>7.8</v>
      </c>
      <c r="E45" s="539">
        <f>(TAN(RADIANS(D45)))*20</f>
        <v>2.7396592127765755</v>
      </c>
    </row>
    <row r="46" spans="1:19">
      <c r="C46" s="20"/>
      <c r="D46" s="20"/>
      <c r="E46" s="35"/>
    </row>
    <row r="47" spans="1:19">
      <c r="A47" s="6" t="s">
        <v>163</v>
      </c>
      <c r="B47" s="16" t="s">
        <v>59</v>
      </c>
      <c r="C47" s="16" t="s">
        <v>216</v>
      </c>
      <c r="D47" s="16" t="s">
        <v>160</v>
      </c>
      <c r="E47" s="16" t="s">
        <v>462</v>
      </c>
      <c r="F47" s="16" t="s">
        <v>398</v>
      </c>
      <c r="G47" s="16" t="s">
        <v>196</v>
      </c>
      <c r="H47" s="16" t="s">
        <v>197</v>
      </c>
      <c r="I47" s="16" t="s">
        <v>198</v>
      </c>
      <c r="J47" s="16" t="s">
        <v>58</v>
      </c>
      <c r="K47" s="16" t="s">
        <v>8</v>
      </c>
      <c r="L47" s="16" t="s">
        <v>256</v>
      </c>
    </row>
    <row r="48" spans="1:19">
      <c r="A48" s="36" t="s">
        <v>257</v>
      </c>
      <c r="B48" s="10">
        <f>C45</f>
        <v>50.8</v>
      </c>
      <c r="C48" s="10">
        <f>B48+E45</f>
        <v>53.53965921277657</v>
      </c>
      <c r="D48" s="10">
        <f>C48+E45</f>
        <v>56.279318425553143</v>
      </c>
      <c r="E48" s="10">
        <f>D48+E45</f>
        <v>59.018977638329716</v>
      </c>
      <c r="F48" s="10">
        <f>E48+E45</f>
        <v>61.758636851106289</v>
      </c>
      <c r="G48" s="10">
        <f>F48+E45</f>
        <v>64.498296063882862</v>
      </c>
      <c r="H48" s="10">
        <f>G48+E45</f>
        <v>67.237955276659434</v>
      </c>
      <c r="I48" s="10">
        <f>H48+E45</f>
        <v>69.977614489436007</v>
      </c>
      <c r="J48" s="10">
        <f>I48+E45</f>
        <v>72.71727370221258</v>
      </c>
      <c r="K48" s="10">
        <f>J48+E45</f>
        <v>75.456932914989153</v>
      </c>
      <c r="L48" s="10">
        <f>K48+E45</f>
        <v>78.196592127765726</v>
      </c>
    </row>
    <row r="49" spans="1:14">
      <c r="A49" s="36" t="s">
        <v>60</v>
      </c>
      <c r="B49" s="11">
        <f t="shared" ref="B49:L49" si="7">3.142*(B48/2)*(B48/2)</f>
        <v>2027.0927199999999</v>
      </c>
      <c r="C49" s="11">
        <f t="shared" si="7"/>
        <v>2251.6319078212073</v>
      </c>
      <c r="D49" s="11">
        <f t="shared" si="7"/>
        <v>2487.9626015603944</v>
      </c>
      <c r="E49" s="11">
        <f t="shared" si="7"/>
        <v>2736.084801217562</v>
      </c>
      <c r="F49" s="11">
        <f t="shared" si="7"/>
        <v>2995.99850679271</v>
      </c>
      <c r="G49" s="11">
        <f t="shared" si="7"/>
        <v>3267.7037182858376</v>
      </c>
      <c r="H49" s="11">
        <f t="shared" si="7"/>
        <v>3551.2004356969455</v>
      </c>
      <c r="I49" s="11">
        <f t="shared" si="7"/>
        <v>3846.4886590260335</v>
      </c>
      <c r="J49" s="11">
        <f t="shared" si="7"/>
        <v>4153.5683882731009</v>
      </c>
      <c r="K49" s="11">
        <f t="shared" si="7"/>
        <v>4472.4396234381502</v>
      </c>
      <c r="L49" s="33">
        <f t="shared" si="7"/>
        <v>4803.1023645211781</v>
      </c>
    </row>
    <row r="50" spans="1:14">
      <c r="A50" s="36" t="s">
        <v>185</v>
      </c>
      <c r="B50" s="218"/>
      <c r="C50" s="505">
        <f t="shared" ref="C50:L50" si="8">((C49-B49)/B49)*100</f>
        <v>11.076907612849965</v>
      </c>
      <c r="D50" s="505">
        <f t="shared" si="8"/>
        <v>10.49597373879253</v>
      </c>
      <c r="E50" s="505">
        <f t="shared" si="8"/>
        <v>9.9729071289717499</v>
      </c>
      <c r="F50" s="505">
        <f t="shared" si="8"/>
        <v>9.4994755081964577</v>
      </c>
      <c r="G50" s="505">
        <f t="shared" si="8"/>
        <v>9.0689368127888237</v>
      </c>
      <c r="H50" s="505">
        <f t="shared" si="8"/>
        <v>8.6757167066487852</v>
      </c>
      <c r="I50" s="505">
        <f t="shared" si="8"/>
        <v>8.3151663409597365</v>
      </c>
      <c r="J50" s="505">
        <f t="shared" si="8"/>
        <v>7.9833779966173841</v>
      </c>
      <c r="K50" s="505">
        <f t="shared" si="8"/>
        <v>7.677043095409922</v>
      </c>
      <c r="L50" s="505">
        <f t="shared" si="8"/>
        <v>7.3933416417779094</v>
      </c>
      <c r="N50" s="506"/>
    </row>
    <row r="51" spans="1:14">
      <c r="A51" s="91"/>
      <c r="B51" s="554"/>
      <c r="C51" s="554"/>
      <c r="D51" s="554"/>
      <c r="E51" s="554"/>
      <c r="F51" s="554"/>
      <c r="G51" s="554"/>
      <c r="H51" s="554"/>
      <c r="I51" s="554"/>
      <c r="J51" s="554"/>
      <c r="K51" s="554"/>
      <c r="L51" s="554"/>
    </row>
    <row r="52" spans="1:14">
      <c r="C52" s="23"/>
      <c r="E52" s="24" t="s">
        <v>286</v>
      </c>
    </row>
    <row r="53" spans="1:14">
      <c r="C53" s="84" t="s">
        <v>190</v>
      </c>
      <c r="E53" s="422" t="s">
        <v>51</v>
      </c>
    </row>
    <row r="54" spans="1:14">
      <c r="C54" s="85" t="s">
        <v>168</v>
      </c>
      <c r="D54" s="119" t="s">
        <v>169</v>
      </c>
      <c r="E54" s="7" t="s">
        <v>244</v>
      </c>
    </row>
    <row r="55" spans="1:14">
      <c r="C55" s="540">
        <v>72.7</v>
      </c>
      <c r="D55" s="313">
        <v>13.2</v>
      </c>
      <c r="E55" s="539">
        <f>(TAN(RADIANS(D55)))*20</f>
        <v>4.6909576498989871</v>
      </c>
    </row>
    <row r="56" spans="1:14">
      <c r="C56" s="20"/>
      <c r="D56" s="20"/>
      <c r="E56" s="35"/>
    </row>
    <row r="57" spans="1:14">
      <c r="A57" s="6" t="s">
        <v>203</v>
      </c>
      <c r="B57" s="16" t="s">
        <v>59</v>
      </c>
      <c r="C57" s="16" t="s">
        <v>216</v>
      </c>
      <c r="D57" s="16" t="s">
        <v>160</v>
      </c>
      <c r="E57" s="16" t="s">
        <v>462</v>
      </c>
      <c r="F57" s="16" t="s">
        <v>398</v>
      </c>
      <c r="G57" s="16" t="s">
        <v>196</v>
      </c>
      <c r="H57" s="16" t="s">
        <v>197</v>
      </c>
      <c r="I57" s="16" t="s">
        <v>198</v>
      </c>
      <c r="J57" s="16" t="s">
        <v>58</v>
      </c>
      <c r="K57" s="16" t="s">
        <v>8</v>
      </c>
      <c r="L57" s="16" t="s">
        <v>256</v>
      </c>
    </row>
    <row r="58" spans="1:14">
      <c r="A58" s="36" t="s">
        <v>257</v>
      </c>
      <c r="B58" s="10">
        <f>C55</f>
        <v>72.7</v>
      </c>
      <c r="C58" s="10">
        <f>B58+E55</f>
        <v>77.390957649898994</v>
      </c>
      <c r="D58" s="10">
        <f>C58+E55</f>
        <v>82.081915299797984</v>
      </c>
      <c r="E58" s="10">
        <f>D58+E55</f>
        <v>86.772872949696975</v>
      </c>
      <c r="F58" s="10">
        <f>E58+E55</f>
        <v>91.463830599595966</v>
      </c>
      <c r="G58" s="10">
        <f>F58+E55</f>
        <v>96.154788249494956</v>
      </c>
      <c r="H58" s="10">
        <f>G58+E55</f>
        <v>100.84574589939395</v>
      </c>
      <c r="I58" s="10">
        <f>H58+E55</f>
        <v>105.53670354929294</v>
      </c>
      <c r="J58" s="10">
        <f>I58+E55</f>
        <v>110.22766119919193</v>
      </c>
      <c r="K58" s="10">
        <f>J58+E55</f>
        <v>114.91861884909092</v>
      </c>
      <c r="L58" s="10">
        <f>K58+E55</f>
        <v>119.60957649898991</v>
      </c>
    </row>
    <row r="59" spans="1:14">
      <c r="A59" s="36" t="s">
        <v>439</v>
      </c>
      <c r="B59" s="11">
        <f t="shared" ref="B59:L59" si="9">3.142*(B58/2)*(B58/2)</f>
        <v>4151.5952950000001</v>
      </c>
      <c r="C59" s="11">
        <f t="shared" si="9"/>
        <v>4704.6425360482244</v>
      </c>
      <c r="D59" s="11">
        <f t="shared" si="9"/>
        <v>5292.2597635469619</v>
      </c>
      <c r="E59" s="11">
        <f t="shared" si="9"/>
        <v>5914.4469774962108</v>
      </c>
      <c r="F59" s="11">
        <f t="shared" si="9"/>
        <v>6571.204177895971</v>
      </c>
      <c r="G59" s="11">
        <f t="shared" si="9"/>
        <v>7262.5313647462453</v>
      </c>
      <c r="H59" s="11">
        <f t="shared" si="9"/>
        <v>7988.4285380470301</v>
      </c>
      <c r="I59" s="11">
        <f t="shared" si="9"/>
        <v>8748.8956977983289</v>
      </c>
      <c r="J59" s="11">
        <f t="shared" si="9"/>
        <v>9543.9328440001373</v>
      </c>
      <c r="K59" s="11">
        <f t="shared" si="9"/>
        <v>10373.539976652461</v>
      </c>
      <c r="L59" s="33">
        <f t="shared" si="9"/>
        <v>11237.717095755293</v>
      </c>
    </row>
    <row r="60" spans="1:14">
      <c r="A60" s="501" t="s">
        <v>185</v>
      </c>
      <c r="B60" s="218"/>
      <c r="C60" s="505">
        <f t="shared" ref="C60:L60" si="10">((C59-B59)/B59)*100</f>
        <v>13.321318716067779</v>
      </c>
      <c r="D60" s="505">
        <f t="shared" si="10"/>
        <v>12.490156754657932</v>
      </c>
      <c r="E60" s="505">
        <f t="shared" si="10"/>
        <v>11.756550920551346</v>
      </c>
      <c r="F60" s="505">
        <f t="shared" si="10"/>
        <v>11.104287567352378</v>
      </c>
      <c r="G60" s="505">
        <f t="shared" si="10"/>
        <v>10.520555565382384</v>
      </c>
      <c r="H60" s="505">
        <f t="shared" si="10"/>
        <v>9.9950986349529902</v>
      </c>
      <c r="I60" s="505">
        <f t="shared" si="10"/>
        <v>9.5196089710181475</v>
      </c>
      <c r="J60" s="505">
        <f t="shared" si="10"/>
        <v>9.0872856834020848</v>
      </c>
      <c r="K60" s="505">
        <f t="shared" si="10"/>
        <v>8.6925080699185955</v>
      </c>
      <c r="L60" s="505">
        <f t="shared" si="10"/>
        <v>8.3305903389568137</v>
      </c>
    </row>
    <row r="61" spans="1:14">
      <c r="A61" s="426"/>
      <c r="B61" s="554"/>
      <c r="C61" s="554"/>
      <c r="D61" s="554"/>
      <c r="E61" s="554"/>
      <c r="F61" s="554"/>
      <c r="G61" s="554"/>
      <c r="H61" s="554"/>
      <c r="I61" s="554"/>
      <c r="J61" s="554"/>
      <c r="K61" s="554"/>
      <c r="L61" s="554"/>
    </row>
    <row r="62" spans="1:14">
      <c r="C62" s="395"/>
      <c r="E62" s="24" t="s">
        <v>286</v>
      </c>
    </row>
    <row r="63" spans="1:14">
      <c r="C63" s="84" t="s">
        <v>190</v>
      </c>
      <c r="E63" s="422" t="s">
        <v>51</v>
      </c>
    </row>
    <row r="64" spans="1:14">
      <c r="C64" s="85" t="s">
        <v>168</v>
      </c>
      <c r="D64" s="119" t="s">
        <v>169</v>
      </c>
      <c r="E64" s="7" t="s">
        <v>244</v>
      </c>
    </row>
    <row r="65" spans="1:12">
      <c r="C65" s="540">
        <v>0</v>
      </c>
      <c r="D65" s="541">
        <v>0</v>
      </c>
      <c r="E65" s="539">
        <f>(TAN(RADIANS(D65)))*20</f>
        <v>0</v>
      </c>
    </row>
    <row r="66" spans="1:12">
      <c r="C66" s="20"/>
      <c r="D66" s="20"/>
      <c r="E66" s="35"/>
    </row>
    <row r="67" spans="1:12">
      <c r="A67" s="6" t="s">
        <v>356</v>
      </c>
      <c r="B67" s="16" t="s">
        <v>59</v>
      </c>
      <c r="C67" s="16" t="s">
        <v>216</v>
      </c>
      <c r="D67" s="16" t="s">
        <v>86</v>
      </c>
      <c r="E67" s="16" t="s">
        <v>87</v>
      </c>
      <c r="F67" s="16" t="s">
        <v>398</v>
      </c>
      <c r="G67" s="16" t="s">
        <v>196</v>
      </c>
      <c r="H67" s="16" t="s">
        <v>294</v>
      </c>
      <c r="I67" s="16" t="s">
        <v>198</v>
      </c>
      <c r="J67" s="16" t="s">
        <v>58</v>
      </c>
      <c r="K67" s="16" t="s">
        <v>8</v>
      </c>
      <c r="L67" s="16" t="s">
        <v>256</v>
      </c>
    </row>
    <row r="68" spans="1:12">
      <c r="A68" s="36" t="s">
        <v>257</v>
      </c>
      <c r="B68" s="330">
        <f>C65</f>
        <v>0</v>
      </c>
      <c r="C68" s="330">
        <f>B68+E65</f>
        <v>0</v>
      </c>
      <c r="D68" s="330">
        <f>C68+E65</f>
        <v>0</v>
      </c>
      <c r="E68" s="330">
        <f>D68+E65</f>
        <v>0</v>
      </c>
      <c r="F68" s="330">
        <f>E68+E65</f>
        <v>0</v>
      </c>
      <c r="G68" s="330">
        <f>F68+E65</f>
        <v>0</v>
      </c>
      <c r="H68" s="330">
        <f>G68+E65</f>
        <v>0</v>
      </c>
      <c r="I68" s="330">
        <f>H68+E65</f>
        <v>0</v>
      </c>
      <c r="J68" s="330">
        <f>I68+E65</f>
        <v>0</v>
      </c>
      <c r="K68" s="330">
        <f>J68+E65</f>
        <v>0</v>
      </c>
      <c r="L68" s="330">
        <f>K68+E65</f>
        <v>0</v>
      </c>
    </row>
    <row r="69" spans="1:12">
      <c r="A69" s="36" t="s">
        <v>60</v>
      </c>
      <c r="B69" s="259">
        <f t="shared" ref="B69:L69" si="11">3.142*(B68/2)*(B68/2)</f>
        <v>0</v>
      </c>
      <c r="C69" s="259">
        <f t="shared" si="11"/>
        <v>0</v>
      </c>
      <c r="D69" s="259">
        <f t="shared" si="11"/>
        <v>0</v>
      </c>
      <c r="E69" s="259">
        <f t="shared" si="11"/>
        <v>0</v>
      </c>
      <c r="F69" s="259">
        <f t="shared" si="11"/>
        <v>0</v>
      </c>
      <c r="G69" s="259">
        <f t="shared" si="11"/>
        <v>0</v>
      </c>
      <c r="H69" s="259">
        <f t="shared" si="11"/>
        <v>0</v>
      </c>
      <c r="I69" s="259">
        <f t="shared" si="11"/>
        <v>0</v>
      </c>
      <c r="J69" s="259">
        <f t="shared" si="11"/>
        <v>0</v>
      </c>
      <c r="K69" s="259">
        <f t="shared" si="11"/>
        <v>0</v>
      </c>
      <c r="L69" s="33">
        <f t="shared" si="11"/>
        <v>0</v>
      </c>
    </row>
    <row r="70" spans="1:12">
      <c r="A70" s="501" t="s">
        <v>185</v>
      </c>
      <c r="B70" s="218"/>
      <c r="C70" s="505" t="e">
        <f t="shared" ref="C70:L70" si="12">((C69-B69)/B69)*100</f>
        <v>#DIV/0!</v>
      </c>
      <c r="D70" s="505" t="e">
        <f t="shared" si="12"/>
        <v>#DIV/0!</v>
      </c>
      <c r="E70" s="505" t="e">
        <f t="shared" si="12"/>
        <v>#DIV/0!</v>
      </c>
      <c r="F70" s="505" t="e">
        <f t="shared" si="12"/>
        <v>#DIV/0!</v>
      </c>
      <c r="G70" s="505" t="e">
        <f t="shared" si="12"/>
        <v>#DIV/0!</v>
      </c>
      <c r="H70" s="505" t="e">
        <f t="shared" si="12"/>
        <v>#DIV/0!</v>
      </c>
      <c r="I70" s="505" t="e">
        <f t="shared" si="12"/>
        <v>#DIV/0!</v>
      </c>
      <c r="J70" s="505" t="e">
        <f t="shared" si="12"/>
        <v>#DIV/0!</v>
      </c>
      <c r="K70" s="505" t="e">
        <f t="shared" si="12"/>
        <v>#DIV/0!</v>
      </c>
      <c r="L70" s="505" t="e">
        <f t="shared" si="12"/>
        <v>#DIV/0!</v>
      </c>
    </row>
    <row r="71" spans="1:12">
      <c r="A71" s="555"/>
      <c r="B71" s="554"/>
      <c r="C71" s="554"/>
      <c r="D71" s="554"/>
      <c r="E71" s="554"/>
      <c r="F71" s="554"/>
      <c r="G71" s="554"/>
      <c r="H71" s="554"/>
      <c r="I71" s="554"/>
      <c r="J71" s="554"/>
      <c r="K71" s="554"/>
      <c r="L71" s="554"/>
    </row>
    <row r="73" spans="1:12">
      <c r="D73" s="168"/>
      <c r="E73" s="168"/>
      <c r="F73" s="168"/>
    </row>
    <row r="74" spans="1:12">
      <c r="B74" s="174" t="s">
        <v>41</v>
      </c>
      <c r="C74" s="173" t="s">
        <v>73</v>
      </c>
      <c r="G74" s="4"/>
    </row>
    <row r="75" spans="1:12">
      <c r="B75" s="175" t="s">
        <v>208</v>
      </c>
      <c r="C75" s="176" t="s">
        <v>2</v>
      </c>
      <c r="D75" s="164" t="s">
        <v>449</v>
      </c>
      <c r="E75" s="162" t="s">
        <v>460</v>
      </c>
      <c r="F75" s="163" t="s">
        <v>218</v>
      </c>
      <c r="G75" s="8" t="s">
        <v>72</v>
      </c>
    </row>
    <row r="76" spans="1:12">
      <c r="B76" s="167" t="s">
        <v>39</v>
      </c>
      <c r="C76" s="383">
        <v>37</v>
      </c>
      <c r="D76" s="255">
        <v>0</v>
      </c>
      <c r="E76" s="50">
        <v>380</v>
      </c>
      <c r="F76" s="158">
        <f>C76+(TAN(RADIANS(D76)))*E76*2</f>
        <v>37</v>
      </c>
      <c r="G76" s="170">
        <f t="shared" ref="G76:G81" si="13">(3.14*E76*((((C76/2)*(C76/2))+((F76/2)*(F76/2))+C76/2*F76/2))/3)/1000</f>
        <v>408.37270000000001</v>
      </c>
    </row>
    <row r="77" spans="1:12">
      <c r="B77" s="165" t="s">
        <v>310</v>
      </c>
      <c r="C77" s="249">
        <v>37</v>
      </c>
      <c r="D77" s="255">
        <v>6</v>
      </c>
      <c r="E77" s="50">
        <v>90</v>
      </c>
      <c r="F77" s="170">
        <f>C77+(TAN(RADIANS(D77)))*E77*2</f>
        <v>55.918762347821769</v>
      </c>
      <c r="G77" s="170">
        <f t="shared" si="13"/>
        <v>154.60344655993612</v>
      </c>
    </row>
    <row r="78" spans="1:12">
      <c r="B78" s="166" t="s">
        <v>309</v>
      </c>
      <c r="C78" s="249">
        <v>58</v>
      </c>
      <c r="D78" s="50">
        <v>11.8</v>
      </c>
      <c r="E78" s="50">
        <v>70</v>
      </c>
      <c r="F78" s="171">
        <f>C78+(TAN(RADIANS(D78)))*E78*2</f>
        <v>87.247523808172105</v>
      </c>
      <c r="G78" s="170">
        <f t="shared" si="13"/>
        <v>293.73498306488608</v>
      </c>
    </row>
    <row r="79" spans="1:12">
      <c r="B79" s="166" t="s">
        <v>151</v>
      </c>
      <c r="C79" s="249">
        <v>0</v>
      </c>
      <c r="D79" s="255">
        <v>0</v>
      </c>
      <c r="E79" s="50">
        <v>0</v>
      </c>
      <c r="F79" s="170">
        <f>C79+(TAN(RADIANS(D79)))*E79*2</f>
        <v>0</v>
      </c>
      <c r="G79" s="170">
        <f t="shared" si="13"/>
        <v>0</v>
      </c>
    </row>
    <row r="80" spans="1:12">
      <c r="B80" s="167" t="s">
        <v>393</v>
      </c>
      <c r="C80" s="384">
        <v>0</v>
      </c>
      <c r="D80" s="255">
        <v>0</v>
      </c>
      <c r="E80" s="50">
        <v>0</v>
      </c>
      <c r="F80" s="177">
        <f>C80+(TAN(RADIANS(D80)))*E80*2</f>
        <v>0</v>
      </c>
      <c r="G80" s="177">
        <f t="shared" si="13"/>
        <v>0</v>
      </c>
    </row>
    <row r="81" spans="2:7">
      <c r="B81" s="169" t="s">
        <v>55</v>
      </c>
      <c r="C81" s="255">
        <v>96</v>
      </c>
      <c r="D81" s="80">
        <v>0</v>
      </c>
      <c r="E81" s="50">
        <v>20</v>
      </c>
      <c r="F81" s="177">
        <f>C81</f>
        <v>96</v>
      </c>
      <c r="G81" s="170">
        <f t="shared" si="13"/>
        <v>144.69120000000001</v>
      </c>
    </row>
    <row r="82" spans="2:7">
      <c r="B82" s="165" t="s">
        <v>142</v>
      </c>
      <c r="C82" s="178">
        <f>F81</f>
        <v>96</v>
      </c>
      <c r="D82" s="50">
        <v>7.3</v>
      </c>
      <c r="E82" s="50">
        <v>50</v>
      </c>
      <c r="F82" s="172">
        <f>C82-(TAN(RADIANS(D82)))*E82*2</f>
        <v>83.189704554694345</v>
      </c>
      <c r="G82" s="177">
        <f>(3.14*E82*((((F81/2)*(F81/2))+((F82/2)*(F82/2))+F81/2*F82/2))/3)/1000</f>
        <v>315.60582977001957</v>
      </c>
    </row>
    <row r="83" spans="2:7">
      <c r="B83" s="166" t="s">
        <v>5</v>
      </c>
      <c r="C83" s="249">
        <v>78.599999999999994</v>
      </c>
      <c r="D83" s="255">
        <v>10</v>
      </c>
      <c r="E83" s="50">
        <v>50</v>
      </c>
      <c r="F83" s="177">
        <f>C83-(TAN(RADIANS(D83)))*E83*2</f>
        <v>60.967301929153493</v>
      </c>
      <c r="G83" s="177">
        <f>(3.14*E83*((((F82/2)*(F82/2))+((F83/2)*(F83/2))+F82/2*F83/2))/3)/1000</f>
        <v>205.53119477449673</v>
      </c>
    </row>
    <row r="84" spans="2:7">
      <c r="B84" s="166" t="s">
        <v>4</v>
      </c>
      <c r="C84" s="249">
        <v>61</v>
      </c>
      <c r="D84" s="255">
        <v>15</v>
      </c>
      <c r="E84" s="50">
        <v>83</v>
      </c>
      <c r="F84" s="177">
        <f>F83-(TAN(RADIANS(D84)))*E84*2</f>
        <v>16.487735985587122</v>
      </c>
      <c r="G84" s="177">
        <f>(3.14*E84*((((F83/2)*(F83/2))+((F84/2)*(F84/2))+F83/2*F84/2))/3)/1000</f>
        <v>108.46287956515765</v>
      </c>
    </row>
    <row r="85" spans="2:7">
      <c r="B85" s="166" t="s">
        <v>3</v>
      </c>
      <c r="C85" s="249">
        <v>0</v>
      </c>
      <c r="D85" s="255">
        <v>0</v>
      </c>
      <c r="E85" s="50">
        <v>0</v>
      </c>
      <c r="F85" s="177">
        <f>F84-(TAN(RADIANS(D85)))*E85*2</f>
        <v>16.487735985587122</v>
      </c>
      <c r="G85" s="177">
        <f>(3.14*E85*((((F84/2)*(F84/2))+((F85/2)*(F85/2))+F84/2*F85/2))/3)/1000</f>
        <v>0</v>
      </c>
    </row>
    <row r="86" spans="2:7">
      <c r="B86" s="167" t="s">
        <v>391</v>
      </c>
      <c r="C86" s="229">
        <v>0</v>
      </c>
      <c r="D86" s="255">
        <v>0</v>
      </c>
      <c r="E86" s="50">
        <v>0</v>
      </c>
      <c r="F86" s="177">
        <f>F85-(TAN(RADIANS(D86)))*E86*2</f>
        <v>16.487735985587122</v>
      </c>
      <c r="G86" s="177">
        <f>(3.14*E86*((((F85/2)*(F85/2))+((F86/2)*(F86/2))+F85/2*F86/2))/3)/1000</f>
        <v>0</v>
      </c>
    </row>
    <row r="87" spans="2:7">
      <c r="F87" s="13" t="s">
        <v>195</v>
      </c>
      <c r="G87" s="170">
        <f>SUM(G76:G81)+SUM(G82:G83)</f>
        <v>1522.5393541693384</v>
      </c>
    </row>
  </sheetData>
  <phoneticPr fontId="14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5"/>
  <sheetViews>
    <sheetView zoomScaleNormal="90" zoomScalePageLayoutView="90" workbookViewId="0">
      <selection activeCell="L214" sqref="L214"/>
    </sheetView>
  </sheetViews>
  <sheetFormatPr baseColWidth="10" defaultRowHeight="13" x14ac:dyDescent="0"/>
  <cols>
    <col min="1" max="1" width="12.42578125" customWidth="1"/>
    <col min="2" max="2" width="11.28515625" customWidth="1"/>
    <col min="3" max="3" width="12.42578125" customWidth="1"/>
    <col min="4" max="4" width="13.85546875" customWidth="1"/>
    <col min="5" max="5" width="16.42578125" customWidth="1"/>
    <col min="6" max="6" width="13.42578125" customWidth="1"/>
    <col min="7" max="7" width="11.5703125" customWidth="1"/>
    <col min="8" max="8" width="12.42578125" customWidth="1"/>
    <col min="9" max="9" width="13.42578125" customWidth="1"/>
    <col min="11" max="12" width="13.140625" customWidth="1"/>
    <col min="13" max="13" width="16.42578125" customWidth="1"/>
    <col min="14" max="14" width="11" customWidth="1"/>
  </cols>
  <sheetData>
    <row r="1" spans="1:18">
      <c r="A1" s="355" t="s">
        <v>245</v>
      </c>
      <c r="B1" s="195" t="s">
        <v>246</v>
      </c>
      <c r="C1" s="357" t="s">
        <v>19</v>
      </c>
      <c r="D1" s="195" t="s">
        <v>246</v>
      </c>
      <c r="E1" s="271" t="s">
        <v>261</v>
      </c>
      <c r="F1" s="272" t="s">
        <v>266</v>
      </c>
      <c r="M1" s="464"/>
      <c r="N1" s="445"/>
    </row>
    <row r="2" spans="1:18">
      <c r="A2" s="356" t="s">
        <v>232</v>
      </c>
      <c r="B2" s="196" t="s">
        <v>233</v>
      </c>
      <c r="C2" s="358" t="s">
        <v>234</v>
      </c>
      <c r="D2" s="196" t="s">
        <v>236</v>
      </c>
      <c r="E2" s="310" t="s">
        <v>263</v>
      </c>
      <c r="F2" s="394">
        <v>650</v>
      </c>
      <c r="M2" s="464"/>
      <c r="N2" s="444"/>
    </row>
    <row r="3" spans="1:18">
      <c r="A3" s="19">
        <f>F2-(((F3-F134)/1000)*33)</f>
        <v>650</v>
      </c>
      <c r="B3" s="12">
        <f>SQRT(1.35*291*(A3+273))</f>
        <v>602.16322537996291</v>
      </c>
      <c r="C3" s="72">
        <f>SQRT(1.35*291*(A3*0.7+273))</f>
        <v>534.78481653839049</v>
      </c>
      <c r="D3" s="92">
        <f>SQRT(1.35*291*(A3*0.65+273))</f>
        <v>522.71136873039211</v>
      </c>
      <c r="E3" s="310" t="s">
        <v>118</v>
      </c>
      <c r="F3" s="50">
        <v>10000</v>
      </c>
      <c r="N3" s="186"/>
      <c r="P3" s="426"/>
      <c r="Q3" s="424" t="s">
        <v>18</v>
      </c>
    </row>
    <row r="4" spans="1:18">
      <c r="A4" s="16" t="s">
        <v>237</v>
      </c>
      <c r="C4" s="197" t="s">
        <v>224</v>
      </c>
      <c r="D4" s="195" t="s">
        <v>377</v>
      </c>
      <c r="E4" s="203" t="s">
        <v>225</v>
      </c>
      <c r="F4" s="50">
        <v>360</v>
      </c>
      <c r="G4" s="4"/>
      <c r="N4" s="193"/>
      <c r="O4" s="427" t="s">
        <v>101</v>
      </c>
      <c r="P4" s="543" t="s">
        <v>96</v>
      </c>
      <c r="Q4" s="418" t="s">
        <v>96</v>
      </c>
    </row>
    <row r="5" spans="1:18">
      <c r="A5" s="12">
        <f>SQRT(1.35*291*(A3*0.88+273))</f>
        <v>576.15818140507213</v>
      </c>
      <c r="B5" s="374" t="s">
        <v>61</v>
      </c>
      <c r="C5" s="198" t="s">
        <v>53</v>
      </c>
      <c r="D5" s="199" t="s">
        <v>461</v>
      </c>
      <c r="E5" s="377" t="s">
        <v>54</v>
      </c>
      <c r="F5" s="80">
        <f>SUM(N7:N43)*10</f>
        <v>220</v>
      </c>
      <c r="G5" s="4"/>
      <c r="N5" s="193"/>
      <c r="O5" s="345"/>
      <c r="P5" s="434">
        <f>((553-I19)/34)*0.46+8.64</f>
        <v>8.6065620727354002</v>
      </c>
      <c r="Q5" s="440">
        <v>4.0000000000000001E-3</v>
      </c>
      <c r="R5" s="52">
        <v>4.0000000000000001E-3</v>
      </c>
    </row>
    <row r="6" spans="1:18">
      <c r="B6" s="200" t="s">
        <v>438</v>
      </c>
      <c r="C6" s="192">
        <f>SIN(RADIANS(0.5*P5))</f>
        <v>7.5035830397840897E-2</v>
      </c>
      <c r="D6" s="189">
        <f>(B7*C6)*-Q5</f>
        <v>-2.3111035762534999E-3</v>
      </c>
      <c r="E6" s="204" t="s">
        <v>276</v>
      </c>
      <c r="F6" s="50">
        <v>200</v>
      </c>
      <c r="G6" s="3"/>
      <c r="N6" s="185"/>
      <c r="P6" s="14"/>
    </row>
    <row r="7" spans="1:18">
      <c r="A7" s="5" t="s">
        <v>216</v>
      </c>
      <c r="B7" s="312">
        <v>7.7</v>
      </c>
      <c r="C7" s="146">
        <f>SIN(RADIANS(1.5*P5))</f>
        <v>0.22341757148604877</v>
      </c>
      <c r="D7" s="144">
        <f>(B7*C8+B8*C6)*-Q5</f>
        <v>-1.3547517391849465E-2</v>
      </c>
      <c r="E7" s="204" t="s">
        <v>150</v>
      </c>
      <c r="F7" s="50">
        <v>180</v>
      </c>
      <c r="G7" s="56"/>
      <c r="N7" s="155">
        <f>IF(B7&gt;0,1,0)</f>
        <v>1</v>
      </c>
    </row>
    <row r="8" spans="1:18">
      <c r="A8" s="5" t="s">
        <v>160</v>
      </c>
      <c r="B8" s="214">
        <v>7.5</v>
      </c>
      <c r="C8" s="146">
        <f>SIN(RADIANS(P5*2.5))</f>
        <v>0.36676761298422844</v>
      </c>
      <c r="D8" s="145">
        <f>(B7*C10+B8*C8+B9*C6)*-Q5</f>
        <v>-3.2433919979110569E-2</v>
      </c>
      <c r="E8" s="204" t="s">
        <v>443</v>
      </c>
      <c r="F8" s="50">
        <v>120</v>
      </c>
      <c r="G8" s="56"/>
      <c r="N8" s="155">
        <f t="shared" ref="N8:N42" si="0">IF(B8&gt;0,1,0)</f>
        <v>1</v>
      </c>
    </row>
    <row r="9" spans="1:18">
      <c r="A9" s="5" t="s">
        <v>462</v>
      </c>
      <c r="B9" s="312">
        <v>7.2</v>
      </c>
      <c r="C9" s="146">
        <f>SIN(RADIANS(3.5*P5))</f>
        <v>0.50185749644911948</v>
      </c>
      <c r="D9" s="145">
        <f>(B7*C12+B8*C10+B9*C8+B10*C6)*-Q5</f>
        <v>-5.6920346062916002E-2</v>
      </c>
      <c r="E9" s="354"/>
      <c r="F9" s="194" t="s">
        <v>348</v>
      </c>
      <c r="G9" s="56"/>
      <c r="N9" s="155">
        <f t="shared" si="0"/>
        <v>1</v>
      </c>
    </row>
    <row r="10" spans="1:18">
      <c r="A10" s="5" t="s">
        <v>226</v>
      </c>
      <c r="B10" s="217">
        <v>6.9</v>
      </c>
      <c r="C10" s="146">
        <f>SIN(RADIANS(4.5*P5))</f>
        <v>0.6256447946144772</v>
      </c>
      <c r="D10" s="145">
        <f>(B7*C14+B8*C12+B9*C10+B10*C8+B11*C6)*-Q5</f>
        <v>-8.448520134137455E-2</v>
      </c>
      <c r="E10" s="375" t="s">
        <v>199</v>
      </c>
      <c r="F10" s="52">
        <v>0</v>
      </c>
      <c r="G10" s="56"/>
      <c r="N10" s="155">
        <f t="shared" si="0"/>
        <v>1</v>
      </c>
    </row>
    <row r="11" spans="1:18">
      <c r="A11" s="5" t="s">
        <v>30</v>
      </c>
      <c r="B11" s="77">
        <v>6.7</v>
      </c>
      <c r="C11" s="146">
        <f>SIN(RADIANS(5.5*P5))</f>
        <v>0.7353416314270157</v>
      </c>
      <c r="D11" s="145">
        <f>(B7*C16+B8*C14+B9*C12+B10*C10+B11*C8+B12*C6)*-Q5</f>
        <v>-0.11242049656226467</v>
      </c>
      <c r="E11" s="375" t="s">
        <v>293</v>
      </c>
      <c r="F11" s="51">
        <f>((((F7-F8)/2)/360)*(60/F3))*1000</f>
        <v>0.5</v>
      </c>
      <c r="G11" s="56"/>
      <c r="N11" s="155">
        <f t="shared" si="0"/>
        <v>1</v>
      </c>
    </row>
    <row r="12" spans="1:18">
      <c r="A12" s="5" t="s">
        <v>294</v>
      </c>
      <c r="B12" s="312">
        <v>6.5</v>
      </c>
      <c r="C12" s="146">
        <f>SIN(RADIANS(6.5*P5))</f>
        <v>0.82847746920634713</v>
      </c>
      <c r="D12" s="145">
        <f>(B7*C18+B8*C16+B9*C14+B10*C12+B11*C10+B12*C8+B13*C6)*-Q5</f>
        <v>-0.13798505890956048</v>
      </c>
      <c r="E12" s="376" t="s">
        <v>264</v>
      </c>
      <c r="F12" s="51">
        <f>(((F7/2)/360)*(60/F3))*1000</f>
        <v>1.5</v>
      </c>
      <c r="G12" s="56"/>
      <c r="N12" s="155">
        <f t="shared" si="0"/>
        <v>1</v>
      </c>
    </row>
    <row r="13" spans="1:18">
      <c r="A13" s="5" t="s">
        <v>95</v>
      </c>
      <c r="B13" s="312">
        <v>6.3</v>
      </c>
      <c r="C13" s="146">
        <f>SIN(RADIANS(7.5*P5))</f>
        <v>0.90295474886768612</v>
      </c>
      <c r="D13" s="145">
        <f>(B7*C20+B8*C18+B9*C16+B10*C14+B11*C12+B12*C10+B13*C8+B14*C6)*-Q5</f>
        <v>-0.15865008296222446</v>
      </c>
      <c r="E13" s="375" t="s">
        <v>459</v>
      </c>
      <c r="F13" s="51">
        <f>((((F7/2)+(F8/2))/360)*(60/F3))*1000</f>
        <v>2.5</v>
      </c>
      <c r="G13" s="56"/>
      <c r="N13" s="155">
        <f t="shared" si="0"/>
        <v>1</v>
      </c>
    </row>
    <row r="14" spans="1:18">
      <c r="A14" s="5" t="s">
        <v>254</v>
      </c>
      <c r="B14" s="230">
        <v>6.1</v>
      </c>
      <c r="C14" s="146">
        <f>SIN(RADIANS(8.5*P5))</f>
        <v>0.95709613010585559</v>
      </c>
      <c r="D14" s="145">
        <f>(B7*C22+B8*C20+B9*C18+B10*C16+B11*C14+B12*C12+B13*C10+B14*C8+B15*C6)*-Q5</f>
        <v>-0.17232565803757854</v>
      </c>
      <c r="E14" s="375" t="s">
        <v>135</v>
      </c>
      <c r="F14" s="51">
        <f>F12*2</f>
        <v>3</v>
      </c>
      <c r="G14" s="56"/>
      <c r="N14" s="155">
        <f t="shared" si="0"/>
        <v>1</v>
      </c>
    </row>
    <row r="15" spans="1:18">
      <c r="A15" s="5" t="s">
        <v>136</v>
      </c>
      <c r="B15" s="217">
        <v>5.9</v>
      </c>
      <c r="C15" s="146">
        <f>SIN(RADIANS(9.5*P5))</f>
        <v>0.98968226762062828</v>
      </c>
      <c r="D15" s="145">
        <f>(B7*C24+B8*C22+B9*C20+B10*C18+B11*C16+B12*C14+B13*C12+B14*C10+B15*C8+B16*C6)*-Q5</f>
        <v>-0.17754797987271381</v>
      </c>
      <c r="F15" s="456"/>
      <c r="G15" s="56"/>
      <c r="N15" s="155">
        <f t="shared" si="0"/>
        <v>1</v>
      </c>
    </row>
    <row r="16" spans="1:18">
      <c r="A16" s="5" t="s">
        <v>152</v>
      </c>
      <c r="B16" s="312">
        <v>5.7</v>
      </c>
      <c r="C16" s="146">
        <f>SIN(RADIANS(10.5*P5))</f>
        <v>0.9999792726060206</v>
      </c>
      <c r="D16" s="145">
        <f>(B7*C26+B8*C24+B9*C22+B10*C20+B11*C18+B12*C16+B13*C14+B14*C12+B15*C10+B16*C8+B17*C6)*-Q5</f>
        <v>-0.17529127904794792</v>
      </c>
      <c r="E16" s="210" t="s">
        <v>159</v>
      </c>
      <c r="F16" s="457"/>
      <c r="G16" s="56"/>
      <c r="H16" s="437" t="s">
        <v>106</v>
      </c>
      <c r="I16" s="436" t="s">
        <v>105</v>
      </c>
      <c r="J16" s="438" t="s">
        <v>103</v>
      </c>
      <c r="K16" s="439" t="s">
        <v>104</v>
      </c>
      <c r="L16" s="344"/>
      <c r="N16" s="155">
        <f t="shared" si="0"/>
        <v>1</v>
      </c>
    </row>
    <row r="17" spans="1:16">
      <c r="A17" s="5" t="s">
        <v>354</v>
      </c>
      <c r="B17" s="312">
        <v>11.1</v>
      </c>
      <c r="C17" s="146">
        <f>SIN(RADIANS(11.5*P5))</f>
        <v>0.98775524102951229</v>
      </c>
      <c r="D17" s="145">
        <f>(B7*C28+B8*C26+B9*C24+B10*C22+B11*C20+B12*C18+B13*C16+B14*C14+B15*C12+B16*C10+B17*C8+B18*C6)*-Q5</f>
        <v>-0.17549053024066652</v>
      </c>
      <c r="E17" s="211" t="s">
        <v>156</v>
      </c>
      <c r="F17" s="455"/>
      <c r="G17" s="193"/>
      <c r="H17" s="343" t="s">
        <v>317</v>
      </c>
      <c r="I17" s="429">
        <f>(I21/I20)*K17</f>
        <v>1.5653501409165991</v>
      </c>
      <c r="J17" s="434">
        <f>K17-I17</f>
        <v>0.72676970828270648</v>
      </c>
      <c r="K17" s="434">
        <f>(10/I19)*(1.5/(10/I19)+(F5/10)*2)</f>
        <v>2.2921198491993056</v>
      </c>
      <c r="L17" s="14"/>
      <c r="N17" s="155">
        <f t="shared" si="0"/>
        <v>1</v>
      </c>
    </row>
    <row r="18" spans="1:16">
      <c r="A18" s="5" t="s">
        <v>206</v>
      </c>
      <c r="B18" s="216">
        <v>10.5</v>
      </c>
      <c r="C18" s="146">
        <f>SIN(RADIANS(12.5*P5))</f>
        <v>0.95328547645949702</v>
      </c>
      <c r="D18" s="145">
        <f>(B7*C30+B8*C28+B9*C26+B10*C24+B11*C21+B12*C20+B13*C18+B14*C16+B15*C14+B16*C12+B17*C10+B18*C8+B19*C6)*-Q5</f>
        <v>-0.18162525053347717</v>
      </c>
      <c r="E18" s="393" t="str">
        <f>IF(AND(ABS(D18)&lt;(ABS(D17)),ABS(D18)&lt;ABS(D19),D19&gt;0),SUM(D7:D18)," ")</f>
        <v xml:space="preserve"> </v>
      </c>
      <c r="F18" s="442"/>
      <c r="G18" s="193"/>
      <c r="H18" s="341" t="s">
        <v>316</v>
      </c>
      <c r="I18" s="430">
        <f>K17/I20</f>
        <v>5.5905362175592818E-2</v>
      </c>
      <c r="N18" s="155">
        <f t="shared" si="0"/>
        <v>1</v>
      </c>
      <c r="O18" s="544" t="str">
        <f>IF(E18&lt;0,12," ")</f>
        <v xml:space="preserve"> </v>
      </c>
    </row>
    <row r="19" spans="1:16">
      <c r="A19" s="5" t="s">
        <v>357</v>
      </c>
      <c r="B19" s="216">
        <v>10</v>
      </c>
      <c r="C19" s="146">
        <f>SIN(RADIANS(13.5*P5))</f>
        <v>0.89734628981503872</v>
      </c>
      <c r="D19" s="145">
        <f>(B7*C32+B8*C30+B9*C28+B10*C26+B11*C24+B12*C22+B13*C20+B14*C18+B15*C16+B16*C14+B17*C12+B18*C10+B19*C8+B20*C6)*-Q5</f>
        <v>-0.1836575425609398</v>
      </c>
      <c r="E19" s="393" t="str">
        <f>IF(AND(ABS(D19)&lt;(ABS(D18)),ABS(D19)&lt;ABS(D20),D20&gt;0),SUM(D7:D19)," ")</f>
        <v xml:space="preserve"> </v>
      </c>
      <c r="F19" s="442"/>
      <c r="G19" s="193"/>
      <c r="H19" s="342" t="s">
        <v>315</v>
      </c>
      <c r="I19" s="428">
        <f>A5-(A5-C3)*0.5</f>
        <v>555.47149897173131</v>
      </c>
      <c r="J19" s="451"/>
      <c r="N19" s="155">
        <f t="shared" si="0"/>
        <v>1</v>
      </c>
      <c r="O19" s="388" t="str">
        <f>IF(E19&lt;0,13," ")</f>
        <v xml:space="preserve"> </v>
      </c>
    </row>
    <row r="20" spans="1:16">
      <c r="A20" s="5" t="s">
        <v>366</v>
      </c>
      <c r="B20" s="215">
        <v>9.5</v>
      </c>
      <c r="C20" s="146">
        <f>SIN(RADIANS(14.5*P5))</f>
        <v>0.8211975156768877</v>
      </c>
      <c r="D20" s="145">
        <f>(B7*C34+B8*C32+B9*C30+B10*C28+B11*C26+B12*C24+B13*C22+B14*C20+B15*C18+B16*C16+B17*C14+B18*C12+B19*C10+B20*C8+B21*C6)*-Q5</f>
        <v>-0.18924645194211134</v>
      </c>
      <c r="E20" s="393" t="str">
        <f>IF(AND(ABS(D20)&lt;(ABS(D19)),ABS(D20)&lt;ABS(D21),D21&gt;0),SUM(D7:D20)," ")</f>
        <v xml:space="preserve"> </v>
      </c>
      <c r="F20" s="442"/>
      <c r="G20" s="56"/>
      <c r="H20" s="431" t="s">
        <v>102</v>
      </c>
      <c r="I20" s="428">
        <f>SUM(P20:P63)</f>
        <v>41</v>
      </c>
      <c r="J20" s="452"/>
      <c r="N20" s="155">
        <f t="shared" si="0"/>
        <v>1</v>
      </c>
      <c r="O20" s="392" t="str">
        <f>IF(E20&lt;0,14," ")</f>
        <v xml:space="preserve"> </v>
      </c>
      <c r="P20" s="52">
        <f>IF(ABS(D20)&gt;0,14)</f>
        <v>14</v>
      </c>
    </row>
    <row r="21" spans="1:16">
      <c r="A21" s="5" t="s">
        <v>325</v>
      </c>
      <c r="B21" s="77">
        <v>9.1</v>
      </c>
      <c r="C21" s="146">
        <f>SIN(RADIANS(15.5*P5))</f>
        <v>0.72655413891872078</v>
      </c>
      <c r="D21" s="145">
        <f>(B7*C36+B8*C34+B9*C32+B10*C30+B11*C28+B12*C26+B13*C24+B14*C22+B15*C20+B16*C18+B17*C16+B18*C14+B19*C12+B20*C10+B21*C8+B22*C6)*-Q5</f>
        <v>-0.19425446104457031</v>
      </c>
      <c r="E21" s="393" t="str">
        <f>IF(AND(ABS(D21)&lt;(ABS(D20)),ABS(D21)&lt;ABS(D22),D22&gt;0),SUM(D7:D21)," ")</f>
        <v xml:space="preserve"> </v>
      </c>
      <c r="F21" s="480"/>
      <c r="G21" s="56"/>
      <c r="H21" s="432" t="s">
        <v>337</v>
      </c>
      <c r="I21" s="428">
        <f>(SUM(O18:O54))</f>
        <v>28</v>
      </c>
      <c r="N21" s="155">
        <f t="shared" si="0"/>
        <v>1</v>
      </c>
      <c r="O21" s="392" t="str">
        <f>IF(E21&lt;0,15," ")</f>
        <v xml:space="preserve"> </v>
      </c>
      <c r="P21" s="52">
        <f t="shared" ref="P21:P64" si="1">IF(ABS(D21)&gt;0,1,0)</f>
        <v>1</v>
      </c>
    </row>
    <row r="22" spans="1:16">
      <c r="A22" s="5" t="s">
        <v>9</v>
      </c>
      <c r="B22" s="77">
        <v>8.6999999999999993</v>
      </c>
      <c r="C22" s="146">
        <f>SIN(RADIANS(16.5*P5))</f>
        <v>0.61554767066952054</v>
      </c>
      <c r="D22" s="145">
        <f>(B7*C38+B8*C36+B9*C34+B10*C32+B11*C30+B12*C28+B13*C26+B14*C24+B15*C22+B16*C20+B17*C18+B18*C16+B19*C14+B20*C12+B21*C10+B22*C8+B23*C6)*-Q5</f>
        <v>-0.19758847489865486</v>
      </c>
      <c r="E22" s="393" t="str">
        <f>IF(AND(ABS(D22)&lt;(ABS(D21)),ABS(D22)&lt;ABS(D23),D23&gt;0),SUM(D7:D22)," ")</f>
        <v xml:space="preserve"> </v>
      </c>
      <c r="F22" s="442"/>
      <c r="G22" s="56"/>
      <c r="H22" s="334"/>
      <c r="N22" s="155">
        <f t="shared" si="0"/>
        <v>1</v>
      </c>
      <c r="O22" s="392" t="str">
        <f>IF(E22&lt;0,16," ")</f>
        <v xml:space="preserve"> </v>
      </c>
      <c r="P22" s="52">
        <f t="shared" si="1"/>
        <v>1</v>
      </c>
    </row>
    <row r="23" spans="1:16">
      <c r="A23" s="5" t="s">
        <v>411</v>
      </c>
      <c r="B23" s="183">
        <v>8.3000000000000007</v>
      </c>
      <c r="C23" s="146">
        <f>SIN(RADIANS(17.5*P5))</f>
        <v>0.49067814347849525</v>
      </c>
      <c r="D23" s="145">
        <f>(B7*C40+B8*C38+B9*C36+B10*C34+B11*C32+B12*C30+B13*C28+B14*C26+B15*C24+B16*C22+B17*C20+B18*C18+B19*C16+B20*C14+B21*C12+B22*C10+B23*C8+B24*C6)*-Q5</f>
        <v>-0.19833536734468638</v>
      </c>
      <c r="E23" s="393" t="str">
        <f>IF(AND(ABS(D23)&lt;(ABS(D22)),ABS(D23)&lt;ABS(D24),D24&gt;0),SUM(D7:D23)," ")</f>
        <v xml:space="preserve"> </v>
      </c>
      <c r="F23" s="442"/>
      <c r="G23" s="56"/>
      <c r="H23" s="76"/>
      <c r="J23" s="308"/>
      <c r="N23" s="155">
        <f t="shared" si="0"/>
        <v>1</v>
      </c>
      <c r="O23" s="392" t="str">
        <f>IF(E23&lt;0,17," ")</f>
        <v xml:space="preserve"> </v>
      </c>
      <c r="P23" s="52">
        <f t="shared" si="1"/>
        <v>1</v>
      </c>
    </row>
    <row r="24" spans="1:16">
      <c r="A24" s="5" t="s">
        <v>90</v>
      </c>
      <c r="B24" s="183">
        <v>8</v>
      </c>
      <c r="C24" s="146">
        <f>SIN(RADIANS(18.5*P5))</f>
        <v>0.35475780682358277</v>
      </c>
      <c r="D24" s="145">
        <f>(B7*C42+B8*C40+B9*C38+B10*C36+B11*C34+B12*C32+B13*C30+B14*C28+B15*C26+B16*C24+B17*C22+B18*C20+B19*C18+B20*C16+B21*C14+B22*C12+B23*C10+B24*C8+B25*C6)*-Q5</f>
        <v>-0.19758393307173183</v>
      </c>
      <c r="E24" s="393" t="str">
        <f>IF(AND(ABS(D24)&lt;(ABS(D23)),ABS(D24)&lt;ABS(D25),D25&gt;0),SUM(D7:D24)," ")</f>
        <v xml:space="preserve"> </v>
      </c>
      <c r="F24" s="442"/>
      <c r="G24" s="56"/>
      <c r="J24" s="242"/>
      <c r="N24" s="155">
        <f t="shared" si="0"/>
        <v>1</v>
      </c>
      <c r="O24" s="392" t="str">
        <f>IF(E24&lt;0,18," ")</f>
        <v xml:space="preserve"> </v>
      </c>
      <c r="P24" s="52">
        <f t="shared" si="1"/>
        <v>1</v>
      </c>
    </row>
    <row r="25" spans="1:16">
      <c r="A25" s="5" t="s">
        <v>7</v>
      </c>
      <c r="B25" s="183">
        <v>13.3</v>
      </c>
      <c r="C25" s="146">
        <f>IF(SIN(RADIANS(19.5*P5))&lt;0,(SIN(RADIANS(19.5*P5)))*0.3,SIN(RADIANS(19.5*P5)))</f>
        <v>0.21084779102535012</v>
      </c>
      <c r="D25" s="145">
        <f>(B7*C44+B8*C42+B9*C40+B10*C38+B11*C36+B12*C34+B13*C32+B14*C30+B15*C28+B16*C26+B17*C24+B18*C22+B19*C20+B20*C18+B21*C16+B22*C14+B23*C12+B24*C10+B25*C8+B26*C6)*-Q5</f>
        <v>-0.19973086441101337</v>
      </c>
      <c r="E25" s="393" t="str">
        <f>IF(AND(ABS(D25)&lt;(ABS(D24)),ABS(D25)&lt;ABS(D26),D26&gt;0),SUM(D7:D25)," ")</f>
        <v xml:space="preserve"> </v>
      </c>
      <c r="F25" s="442"/>
      <c r="G25" s="56"/>
      <c r="N25" s="155">
        <f t="shared" si="0"/>
        <v>1</v>
      </c>
      <c r="O25" s="392" t="str">
        <f>IF(E25&lt;0,19," ")</f>
        <v xml:space="preserve"> </v>
      </c>
      <c r="P25" s="52">
        <f t="shared" si="1"/>
        <v>1</v>
      </c>
    </row>
    <row r="26" spans="1:16">
      <c r="A26" s="5" t="s">
        <v>10</v>
      </c>
      <c r="B26" s="120">
        <v>12.5</v>
      </c>
      <c r="C26" s="147">
        <f>IF(SIN(RADIANS(20.5*P5))&lt;0,(SIN(RADIANS(20.5*P5)))*0.3,SIN(RADIANS(20.5*P5)))</f>
        <v>6.2189165990144617E-2</v>
      </c>
      <c r="D26" s="149">
        <f>(B7*C46+B8*C44+B9*C42+B10*C40+B11*C38+B12*C36+B13*C34+B14*C32+B15*C30+B16*C28+B17*C26+B18*C24+B19*C22+B20*C20+B21*C18+B22*C16+B23*C14+B24*C12+B25*C10+B26*C8+B27*C6)*-Q5</f>
        <v>-0.20349184718153276</v>
      </c>
      <c r="E26" s="393" t="str">
        <f>IF(AND(ABS(D26)&lt;(ABS(D25)),ABS(D26)&lt;ABS(D27),D27&gt;0),SUM(D7:D26)," ")</f>
        <v xml:space="preserve"> </v>
      </c>
      <c r="F26" s="442"/>
      <c r="G26" s="187"/>
      <c r="H26" s="443"/>
      <c r="I26" s="443"/>
      <c r="N26" s="155">
        <f t="shared" si="0"/>
        <v>1</v>
      </c>
      <c r="O26" s="392" t="str">
        <f>IF(E26&lt;0,20," ")</f>
        <v xml:space="preserve"> </v>
      </c>
      <c r="P26" s="52">
        <f t="shared" si="1"/>
        <v>1</v>
      </c>
    </row>
    <row r="27" spans="1:16">
      <c r="A27" s="5" t="s">
        <v>455</v>
      </c>
      <c r="B27" s="184">
        <v>11.8</v>
      </c>
      <c r="C27" s="147">
        <f>IF(SIN(RADIANS(21.5*P5))&lt;0,(SIN(RADIANS(21.5*P5)))*0.3,SIN(RADIANS(21.5*P5)))</f>
        <v>-2.636101576701964E-2</v>
      </c>
      <c r="D27" s="149">
        <f>(B7*C48+B8*C46+B9*C44+B10*C42+B11*C40+B12*C38+B13*C36+B14*C34+B15*C32+B16*C30+B17*C28+B18*C26+B19*C24+B20*C22+B21*C20+B22*C18+B23*C16+B24*C14+B25*C12+B26*C10+B27*C8+B28*C6)*-Q5</f>
        <v>-0.21029667736895347</v>
      </c>
      <c r="E27" s="393" t="str">
        <f>IF(AND(ABS(D27)&lt;(ABS(D26)),ABS(D27)&lt;ABS(D28),D28&gt;0),SUM(D7:D27)," ")</f>
        <v xml:space="preserve"> </v>
      </c>
      <c r="F27" s="442"/>
      <c r="G27" s="454"/>
      <c r="H27" s="447"/>
      <c r="I27" s="448"/>
      <c r="N27" s="155">
        <f t="shared" si="0"/>
        <v>1</v>
      </c>
      <c r="O27" s="392" t="str">
        <f>IF(E27&lt;0,21," ")</f>
        <v xml:space="preserve"> </v>
      </c>
      <c r="P27" s="52">
        <f t="shared" si="1"/>
        <v>1</v>
      </c>
    </row>
    <row r="28" spans="1:16">
      <c r="A28" s="5" t="s">
        <v>260</v>
      </c>
      <c r="B28" s="184">
        <v>11.1</v>
      </c>
      <c r="C28" s="188">
        <f>IF(SIN(RADIANS(22.5*P5))&lt;0,(SIN(RADIANS(22.5*P5)))*0.3,SIN(RADIANS(22.5*P5)))</f>
        <v>-7.0785091625544472E-2</v>
      </c>
      <c r="D28" s="145">
        <f>(B7*C50+B8*C48+B9*C46+B10*C44+B11*C42+B12*C40+B13*C38+B14*C36+B15*C34+B16*C32+B17*C30+B18*C28+B19*C26+B20*C24+B21*C22+B22*C20+B23*C18+B24*C16+B25*C14+B26*C12+B27*C10+B28*C8+B29*C6)*-Q5</f>
        <v>-0.21431492985166717</v>
      </c>
      <c r="E28" s="393" t="str">
        <f>IF(AND(ABS(D28)&lt;(ABS(D27)),ABS(D28)&lt;ABS(D29),D29&gt;0),SUM(D7:D28)," ")</f>
        <v xml:space="preserve"> </v>
      </c>
      <c r="F28" s="442"/>
      <c r="G28" s="454"/>
      <c r="H28" s="448"/>
      <c r="I28" s="448"/>
      <c r="N28" s="155">
        <f t="shared" si="0"/>
        <v>1</v>
      </c>
      <c r="O28" s="392" t="str">
        <f>IF(E28&lt;0,22," ")</f>
        <v xml:space="preserve"> </v>
      </c>
      <c r="P28" s="52">
        <f t="shared" si="1"/>
        <v>1</v>
      </c>
    </row>
    <row r="29" spans="1:16">
      <c r="A29" s="5" t="s">
        <v>29</v>
      </c>
      <c r="B29" s="184">
        <v>0</v>
      </c>
      <c r="C29" s="188">
        <f>IF(SIN(RADIANS(23.5*P5))&lt;0,(SIN(RADIANS(23.5*P5)))*0.3,0)</f>
        <v>-0.11361498080419741</v>
      </c>
      <c r="D29" s="145">
        <f>(B8*C50+B9*C48+B10*C46+B11*C44+B12*C42+B13*C40+B14*C38+B15*C36+B16*C34+B17*C32+B18*C30+B19*C28+B20*C26+B21*C24+B22*C22+B23*C20+B24*C18+B25*C16+B26*C14+B27*C12+B28*C10+B29*C8+B30*C6)*-Q5</f>
        <v>-0.20491593263745952</v>
      </c>
      <c r="E29" s="351" t="str">
        <f>IF(AND(ABS(D29)&lt;(ABS(D28)),ABS(D29)&lt;ABS(D30),D30&gt;0),SUM(D7:D29)," ")</f>
        <v xml:space="preserve"> </v>
      </c>
      <c r="F29" s="458"/>
      <c r="G29" s="454"/>
      <c r="H29" s="447"/>
      <c r="I29" s="448"/>
      <c r="N29" s="155">
        <f t="shared" si="0"/>
        <v>0</v>
      </c>
      <c r="O29" s="392" t="str">
        <f>IF(E29&lt;0,23," ")</f>
        <v xml:space="preserve"> </v>
      </c>
      <c r="P29" s="52">
        <f t="shared" si="1"/>
        <v>1</v>
      </c>
    </row>
    <row r="30" spans="1:16">
      <c r="A30" s="138" t="s">
        <v>6</v>
      </c>
      <c r="B30" s="184">
        <v>0</v>
      </c>
      <c r="C30" s="188">
        <f>IF(SIN(RADIANS(24.5*P5))&lt;0,(SIN(RADIANS(24.5*P5)))*0.3,0)</f>
        <v>-0.15388608980933474</v>
      </c>
      <c r="D30" s="145">
        <f>(B9*C50+B10*C48+B11*C46+B12*C44+B13*C42+B14*C40+B15*C38+B16*C36+B17*C34+B18*C32+B19*C30+B20*C28+B21*C26+B22*C24+B23*C22+B24*C20+B25*C18+B26*C16+B27*C14+B28*C12+B29*C10+B30*C8+B31*C6)*-Q5</f>
        <v>-0.18263185710555846</v>
      </c>
      <c r="E30" s="351" t="str">
        <f>IF(AND(ABS(D30)&lt;(ABS(D29)),ABS(D30)&lt;ABS(D31),D31&gt;0),SUM(D7:D30)," ")</f>
        <v xml:space="preserve"> </v>
      </c>
      <c r="F30" s="442"/>
      <c r="G30" s="454"/>
      <c r="H30" s="447"/>
      <c r="I30" s="450"/>
      <c r="N30" s="155">
        <f t="shared" si="0"/>
        <v>0</v>
      </c>
      <c r="O30" s="392" t="str">
        <f>IF(E30&lt;0,24," ")</f>
        <v xml:space="preserve"> </v>
      </c>
      <c r="P30" s="52">
        <f t="shared" si="1"/>
        <v>1</v>
      </c>
    </row>
    <row r="31" spans="1:16">
      <c r="A31" s="138" t="s">
        <v>181</v>
      </c>
      <c r="B31" s="153">
        <v>0</v>
      </c>
      <c r="C31" s="146">
        <f>IF(SIN(RADIANS(25.5*P5))&lt;0,(SIN(RADIANS(25.5*P5)))*0.3,0)</f>
        <v>-0.19069145272362331</v>
      </c>
      <c r="D31" s="145">
        <f>(B10*C50+B11*C48+B12*C46+B13*C44+B14*C42+B15*C40+B16*C38+B17*C36+B18*C34+B19*C32+B20*C30+B21*C28+B22*C26+B23*C24+B24*C22+B25*C20+B26*C18+B27*C16+B28*C14+B29*C12+B30*C10+B31*C8+B32*C6)*-Q5</f>
        <v>-0.14920308775028693</v>
      </c>
      <c r="E31" s="351" t="str">
        <f>IF(AND(ABS(D31)&lt;(ABS(D30)),ABS(D31)&lt;ABS(D32),D32&gt;0),SUM(D7:D31)," ")</f>
        <v xml:space="preserve"> </v>
      </c>
      <c r="F31" s="442"/>
      <c r="G31" s="454"/>
      <c r="H31" s="448"/>
      <c r="I31" s="449"/>
      <c r="N31" s="155">
        <f t="shared" si="0"/>
        <v>0</v>
      </c>
      <c r="O31" s="392" t="str">
        <f>IF(E31&lt;0,25," ")</f>
        <v xml:space="preserve"> </v>
      </c>
      <c r="P31" s="52">
        <f t="shared" si="1"/>
        <v>1</v>
      </c>
    </row>
    <row r="32" spans="1:16">
      <c r="A32" s="152" t="s">
        <v>182</v>
      </c>
      <c r="B32" s="153">
        <v>0</v>
      </c>
      <c r="C32" s="146">
        <f>IF(SIN(RADIANS(26.5*P5))&lt;0,(SIN(RADIANS(26.5*P5)))*0.3,0)</f>
        <v>-0.22320215744200886</v>
      </c>
      <c r="D32" s="254">
        <f>(B11*C50+B12*C48+B13*C46+B14*C44+B15*C42+B16*C40+B17*C38+B18*C36+B19*C34+B20*C32+B21*C30+B22*C28+B23*C26+B24*C24+B25*C22+B26*C20+B27*C18+B28*C16+B29*C14+B30*C12+B31*C10+B32*C8+B33*C6)*-Q5</f>
        <v>-0.10736196111424132</v>
      </c>
      <c r="E32" s="351" t="str">
        <f>IF(AND(ABS(D32)&lt;(ABS(D31)),ABS(D32)&lt;ABS(D33),D33&gt;0),SUM(D7:D32)," ")</f>
        <v xml:space="preserve"> </v>
      </c>
      <c r="F32" s="442"/>
      <c r="G32" s="453"/>
      <c r="H32" s="448"/>
      <c r="I32" s="448"/>
      <c r="N32" s="155">
        <f t="shared" si="0"/>
        <v>0</v>
      </c>
      <c r="O32" s="392" t="str">
        <f>IF(E32&lt;0,26," ")</f>
        <v xml:space="preserve"> </v>
      </c>
      <c r="P32" s="52">
        <f t="shared" si="1"/>
        <v>1</v>
      </c>
    </row>
    <row r="33" spans="1:16">
      <c r="A33" s="152" t="s">
        <v>183</v>
      </c>
      <c r="B33" s="154">
        <v>0</v>
      </c>
      <c r="C33" s="146">
        <f>IF(SIN(RADIANS(27.5*P5))&lt;0,(SIN(RADIANS(27.5*P5)))*0.3,0)</f>
        <v>-0.25068601401848584</v>
      </c>
      <c r="D33" s="254">
        <f>(B12*C50+B13*C48+B14*C46+B15*C44+B16*C42+B17*C40+B18*C38+B19*C36+B20*C34+B21*C32+B22*C30+B23*C28+B24*C26+B25*C24+B26*C22+B27*C20+B28*C18+B29*C16+B30*C14+B31*C12+B32*C10+B33*C8+B34*C6)*-Q5</f>
        <v>-6.0594382571549893E-2</v>
      </c>
      <c r="E33" s="351" t="str">
        <f>IF(AND(ABS(D33)&lt;(ABS(D32)),ABS(D33)&lt;ABS(D34),D34&gt;0),SUM(D7:D33)," ")</f>
        <v xml:space="preserve"> </v>
      </c>
      <c r="F33" s="442"/>
      <c r="G33" s="56"/>
      <c r="N33" s="155">
        <f t="shared" si="0"/>
        <v>0</v>
      </c>
      <c r="O33" s="392" t="str">
        <f>IF(E33&lt;0,27," ")</f>
        <v xml:space="preserve"> </v>
      </c>
      <c r="P33" s="52">
        <f t="shared" si="1"/>
        <v>1</v>
      </c>
    </row>
    <row r="34" spans="1:16">
      <c r="A34" s="152" t="s">
        <v>441</v>
      </c>
      <c r="B34" s="184">
        <v>0</v>
      </c>
      <c r="C34" s="146">
        <f>IF(SIN(RADIANS(28.5*P5))&lt;0,(SIN(RADIANS(28.5*P5)))*0.3,0)</f>
        <v>-0.27252404468443747</v>
      </c>
      <c r="D34" s="254">
        <f>(B13*C50+B14*C48+B15*C46+B16*C44+B17*C42+B18*C40+B19*C38+B20*C36+B21*C34+B22*C32+B23*C30+B24*C28+B25*C26+B26*C24+B27*C22+B28*C20+B29*C18+B30*C16+B31*C14+B32*C12+B33*C10+B34*C8+B35*C6)*-Q5</f>
        <v>-1.2893629209161291E-2</v>
      </c>
      <c r="E34" s="351">
        <f>IF(AND(ABS(D34)&lt;(ABS(D33)),ABS(D34)&lt;ABS(D35),D35&gt;0),SUM(D7:D34)," ")</f>
        <v>-4.1848247210058016</v>
      </c>
      <c r="F34" s="442"/>
      <c r="G34" s="56"/>
      <c r="N34" s="155">
        <f t="shared" si="0"/>
        <v>0</v>
      </c>
      <c r="O34" s="392">
        <f>IF(E34&lt;0,28," ")</f>
        <v>28</v>
      </c>
      <c r="P34" s="52">
        <f t="shared" si="1"/>
        <v>1</v>
      </c>
    </row>
    <row r="35" spans="1:16">
      <c r="A35" s="228" t="s">
        <v>442</v>
      </c>
      <c r="B35" s="184">
        <v>0</v>
      </c>
      <c r="C35" s="146">
        <f>IF(SIN(RADIANS(29.5*P5))&lt;0,(SIN(RADIANS(29.5*P5)))*0.3,0)</f>
        <v>-0.28822442415853933</v>
      </c>
      <c r="D35" s="254">
        <f>(B14*C50+B15*C48+B16*C46+B17*C44+B18*C42+B19*C40+B20*C38+B21*C36+B22*C34+B23*C32+B24*C30+B25*C28+B26*C26+B27*C24+B28*C22+B29*C20+B30*C18+B31*C16+B32*C14+B33*C12+B34*C10+B35*C8+B36*C6)*-Q5</f>
        <v>2.7946315454307927E-2</v>
      </c>
      <c r="E35" s="351" t="str">
        <f>IF(AND(ABS(D35)&lt;(ABS(D34)),ABS(D35)&lt;ABS(D36),D36&gt;0),SUM(D7:D35)," ")</f>
        <v xml:space="preserve"> </v>
      </c>
      <c r="F35" s="442"/>
      <c r="G35" s="56"/>
      <c r="N35" s="155">
        <f t="shared" si="0"/>
        <v>0</v>
      </c>
      <c r="O35" s="392" t="str">
        <f>IF(E35&lt;0,29," ")</f>
        <v xml:space="preserve"> </v>
      </c>
      <c r="P35" s="52">
        <f t="shared" si="1"/>
        <v>1</v>
      </c>
    </row>
    <row r="36" spans="1:16">
      <c r="A36" s="152" t="s">
        <v>269</v>
      </c>
      <c r="B36" s="184">
        <v>0</v>
      </c>
      <c r="C36" s="146">
        <f>IF(SIN(RADIANS(30.5*P5))&lt;0,(SIN(RADIANS(30.5*P5)))*0.3,0)</f>
        <v>-0.29743355629149293</v>
      </c>
      <c r="D36" s="145">
        <f>(B15*C50+B16*C48+B17*C46+B18*C44+B19*C42+B20*C40+B21*C38+B22*C36+B23*C34+B24*C32+B25*C30+B26*C28+B27*C26+B28*C24+B29*C22+B30*C20+B31*C18+B32*C16+B33*C14+B34*C12+B35*C10+B36*C8+B37*C6)*-Q5</f>
        <v>5.7800955972656637E-2</v>
      </c>
      <c r="E36" s="351" t="str">
        <f>IF(AND(ABS(D36)&lt;(ABS(D35)),ABS(D36)&lt;ABS(D37),D37&gt;0),SUM(D7:D36)," ")</f>
        <v xml:space="preserve"> </v>
      </c>
      <c r="F36" s="442"/>
      <c r="G36" s="56"/>
      <c r="N36" s="155">
        <f t="shared" si="0"/>
        <v>0</v>
      </c>
      <c r="O36" s="392" t="str">
        <f>IF(E36&lt;0,30," ")</f>
        <v xml:space="preserve"> </v>
      </c>
      <c r="P36" s="52">
        <f t="shared" si="1"/>
        <v>1</v>
      </c>
    </row>
    <row r="37" spans="1:16">
      <c r="A37" s="152" t="s">
        <v>270</v>
      </c>
      <c r="B37" s="184">
        <v>0</v>
      </c>
      <c r="C37" s="146">
        <f>IF(SIN(RADIANS(31.5*P5))&lt;0,(SIN(RADIANS(31.5*P5)))*0.3,0)</f>
        <v>-0.29994403758289451</v>
      </c>
      <c r="D37" s="145">
        <f>(B16*C50+B17*C48+B18*C46+B19*C44+B20*C42+B21*C40+B22*C38+B23*C36+B24*C34+B25*C32+B26*C30+B27*C28+B28*C26+B29*C24+B30*C22+B31*C20+B32*C18+B33*C16+B34*C14+B35*C12+B36*C10+B37*C8+B38*C6)*-Q5</f>
        <v>7.5202606894590629E-2</v>
      </c>
      <c r="E37" s="351" t="str">
        <f>IF(AND(ABS(D37)&lt;(ABS(D36)),ABS(D37)&lt;ABS(D38),D38&gt;0),SUM(D7:D37)," ")</f>
        <v xml:space="preserve"> </v>
      </c>
      <c r="F37" s="442"/>
      <c r="G37" s="56"/>
      <c r="N37" s="155">
        <f t="shared" si="0"/>
        <v>0</v>
      </c>
      <c r="O37" s="392" t="str">
        <f>IF(E37&lt;0,31," ")</f>
        <v xml:space="preserve"> </v>
      </c>
      <c r="P37" s="52">
        <f t="shared" si="1"/>
        <v>1</v>
      </c>
    </row>
    <row r="38" spans="1:16">
      <c r="A38" s="152" t="s">
        <v>302</v>
      </c>
      <c r="B38" s="229">
        <v>0</v>
      </c>
      <c r="C38" s="146">
        <f>IF(SIN(RADIANS(32.5*P5))&lt;0,(SIN(RADIANS(32.5*P5)))*0.3,0)</f>
        <v>-0.2956993282198695</v>
      </c>
      <c r="D38" s="145">
        <f>(B17*C50+B18*C48+B19*C46+B20*C44+B21*C42+B22*C40+B23*C38+B24*C36+B25*C34+B26*C32+B27*C30+B28*C28+B29*C26+B30*C24+B31*C22+B32*C20+B33*C18+B34*C16+B35*C14+B36*C12+B37*C10+B38*C8+B39*C6)*-Q5</f>
        <v>8.0388921022861451E-2</v>
      </c>
      <c r="E38" s="351" t="str">
        <f>IF(AND(ABS(D38)&lt;(ABS(D37)),ABS(D38)&lt;ABS(D39),D39&gt;0),SUM(D7:D38)," ")</f>
        <v xml:space="preserve"> </v>
      </c>
      <c r="F38" s="442"/>
      <c r="N38" s="155">
        <f t="shared" si="0"/>
        <v>0</v>
      </c>
      <c r="O38" s="392" t="str">
        <f>IF(E38&lt;0,32," ")</f>
        <v xml:space="preserve"> </v>
      </c>
      <c r="P38" s="52">
        <f t="shared" si="1"/>
        <v>1</v>
      </c>
    </row>
    <row r="39" spans="1:16">
      <c r="A39" s="152" t="s">
        <v>303</v>
      </c>
      <c r="B39" s="184">
        <v>0</v>
      </c>
      <c r="C39" s="146">
        <f>IF(SIN(RADIANS(33.5*P5))&lt;0,(SIN(RADIANS(33.5*P5)))*0.3,0)</f>
        <v>-0.28479502543865876</v>
      </c>
      <c r="D39" s="145">
        <f>(B18*C50+B19*C48+B20*C46+B21*C44+B22*C42+B23*C40+B24*C38+B25*C36+B26*C34+B27*C32+B28*C30+B29*C28+B30*C26+B31*C24+B32*C22+B33*C20+B34*C18+B35*C16+B36*C14+B37*C12+B38*C10+B39*C8+B40*C6)*-Q5</f>
        <v>8.0147392025743183E-2</v>
      </c>
      <c r="E39" s="351" t="str">
        <f>IF(AND(ABS(D39)&lt;ABS(D38),ABS(D39)&lt;ABS(D40),D40&gt;0),SUM(D7:D39)," ")</f>
        <v xml:space="preserve"> </v>
      </c>
      <c r="F39" s="441"/>
      <c r="N39" s="155">
        <f t="shared" si="0"/>
        <v>0</v>
      </c>
      <c r="O39" s="392" t="str">
        <f>IF(E39&lt;0,33," ")</f>
        <v xml:space="preserve"> </v>
      </c>
      <c r="P39" s="52">
        <f t="shared" si="1"/>
        <v>1</v>
      </c>
    </row>
    <row r="40" spans="1:16">
      <c r="A40" s="152" t="s">
        <v>304</v>
      </c>
      <c r="B40" s="184">
        <v>0</v>
      </c>
      <c r="C40" s="146">
        <f>IF(SIN(RADIANS(34.5*P5))&lt;0,(SIN(RADIANS(34.5*P5)))*0.3,0)</f>
        <v>-0.26747671053114036</v>
      </c>
      <c r="D40" s="145">
        <f>(B19*C50+B20*C48+B21*C46+B22*C44+B23*C42+B24*C40+B25*C38+B26*C36+B27*C34+B28*C32+B29*C30+B30*C28+B31*C26+B32*C24+B33*C22+B34*C20+B35*C18+B36*C16+B37*C14+B38*C12+B39*C10+B40*C8+B41*C6)*-Q5</f>
        <v>7.6253135407228681E-2</v>
      </c>
      <c r="E40" s="351" t="str">
        <f>IF(AND(ABS(D40)&lt;(ABS(D39)),ABS(D40)&lt;ABS(D41),D41&gt;0),SUM(D7:D40)," ")</f>
        <v xml:space="preserve"> </v>
      </c>
      <c r="F40" s="441"/>
      <c r="N40" s="155">
        <f t="shared" si="0"/>
        <v>0</v>
      </c>
      <c r="O40" s="392" t="str">
        <f>IF(E40&lt;0,34," ")</f>
        <v xml:space="preserve"> </v>
      </c>
      <c r="P40" s="52">
        <f t="shared" si="1"/>
        <v>1</v>
      </c>
    </row>
    <row r="41" spans="1:16">
      <c r="A41" s="152" t="s">
        <v>305</v>
      </c>
      <c r="B41" s="184">
        <v>0</v>
      </c>
      <c r="C41" s="146">
        <f>IF(SIN(RADIANS(35.5*P5))&lt;0,(SIN(RADIANS(35.5*P5)))*0.3,0)</f>
        <v>-0.24413441798493521</v>
      </c>
      <c r="D41" s="145">
        <f>(B20*C50+B21*C48+B22*C46+B23*C44+B24*C42+B25*C40+B26*C38+B27*C36+B28*C34+B29*C32+B30*C30+B31*C28+B32*C26+B33*C24+B34*C22+B35*C20+B36*C18+B37*C16+B38*C14+B39*C12+B40*C10+B41*C8+B42*C6)*-Q5</f>
        <v>6.8887717097038573E-2</v>
      </c>
      <c r="E41" s="351" t="str">
        <f>IF(AND(ABS(D41)&lt;(ABS(D40)),ABS(D41)&lt;ABS(D42),D42&gt;0),SUM(D7:D41)," ")</f>
        <v xml:space="preserve"> </v>
      </c>
      <c r="F41" s="441"/>
      <c r="N41" s="155">
        <f t="shared" si="0"/>
        <v>0</v>
      </c>
      <c r="O41" s="392" t="str">
        <f>IF(E41&lt;0,35," ")</f>
        <v xml:space="preserve"> </v>
      </c>
      <c r="P41" s="52">
        <f t="shared" si="1"/>
        <v>1</v>
      </c>
    </row>
    <row r="42" spans="1:16">
      <c r="A42" s="152" t="s">
        <v>306</v>
      </c>
      <c r="B42" s="184">
        <v>0</v>
      </c>
      <c r="C42" s="146">
        <f>IF(SIN(RADIANS(36.5*P5))&lt;0,(SIN(RADIANS(36.5*P5)))*0.3,0)</f>
        <v>-0.2152938513203792</v>
      </c>
      <c r="D42" s="254">
        <f>(B21*C50+B22*C48+B23*C46+B24*C44+B25*C42+B26*C40+B27*C38+B28*C36+B29*C34+B30*C32+B31*C30+B32*C28+B33*C26+B34*C24+B35*C22+B36*C20+B37*C18+B38*C16+B39*C14+B40*C12+B41*C10+B42*C8+B43*C6)*-Q5</f>
        <v>5.8567434673607748E-2</v>
      </c>
      <c r="E42" s="351" t="str">
        <f>IF(AND(ABS(D42)&lt;(ABS(D41)),ABS(D42)&lt;ABS(D43),D43&gt;0),SUM(D7:D42)," ")</f>
        <v xml:space="preserve"> </v>
      </c>
      <c r="F42" s="441"/>
      <c r="N42" s="155">
        <f t="shared" si="0"/>
        <v>0</v>
      </c>
      <c r="O42" s="392" t="str">
        <f>IF(E42&lt;0,36," ")</f>
        <v xml:space="preserve"> </v>
      </c>
      <c r="P42" s="52">
        <f t="shared" si="1"/>
        <v>1</v>
      </c>
    </row>
    <row r="43" spans="1:16">
      <c r="A43" s="152" t="s">
        <v>21</v>
      </c>
      <c r="B43" s="184">
        <v>0</v>
      </c>
      <c r="C43" s="146">
        <f>IF(SIN(RADIANS(37.5*P5))&lt;0,(SIN(RADIANS(37.5*P5)))*0.3,0)</f>
        <v>-0.18160454345691524</v>
      </c>
      <c r="D43" s="254">
        <f>(B22*C50+B23*C48+B24*C46+B25*C44+B26*C42+B27*C40+B28*C38+B29*C36+B30*C34+B31*C32+B32*C30+B33*C28+B34*C26+B35*C24+B36*C22+B37*C20+B38*C18+B39*C16+B40*C14+B41*C12+B42*C10+B43*C8)*-Q5</f>
        <v>4.6073278883151846E-2</v>
      </c>
      <c r="E43" s="351" t="str">
        <f>IF(AND(ABS(D43)&lt;(ABS(D42)),ABS(D43)&lt;ABS(D44),D44&gt;0),SUM(D7:D43)," ")</f>
        <v xml:space="preserve"> </v>
      </c>
      <c r="F43" s="441"/>
      <c r="N43" s="155">
        <f t="shared" ref="N43" si="2">IF(B43&gt;0,1,0)</f>
        <v>0</v>
      </c>
      <c r="O43" s="392" t="str">
        <f>IF(E43&lt;0,37," ")</f>
        <v xml:space="preserve"> </v>
      </c>
      <c r="P43" s="52">
        <f t="shared" si="1"/>
        <v>1</v>
      </c>
    </row>
    <row r="44" spans="1:16">
      <c r="A44" s="150"/>
      <c r="B44" s="108"/>
      <c r="C44" s="146">
        <f>IF(SIN(RADIANS(38.5*P5))&lt;0,(SIN(RADIANS(38.5*P5)))*0.3,0)</f>
        <v>-0.1438252282552577</v>
      </c>
      <c r="D44" s="145">
        <f>(B23*C50+B24*C48+B25*C46+B26*C44+B27*C42+B28*C40+B29*C38+B30*C36+B31*C34+B32*C32+B33*C30+B34*C28+B35*C26+B36*C24+B37*C22+B38*C20+B39*C18+B40*C16+B41*C14+B42*C12+B43*C10)*-Q5</f>
        <v>3.2393056193936315E-2</v>
      </c>
      <c r="E44" s="351" t="str">
        <f>IF(AND(ABS(D44)&lt;(ABS(D43)),ABS(D44)&lt;ABS(D45),D45&gt;0),SUM(D7:D44)," ")</f>
        <v xml:space="preserve"> </v>
      </c>
      <c r="F44" s="441"/>
      <c r="N44" s="311"/>
      <c r="O44" s="387" t="str">
        <f>IF(E44&lt;0,38," ")</f>
        <v xml:space="preserve"> </v>
      </c>
      <c r="P44" s="52">
        <f>IF(ABS(D44)&gt;0,1,0)</f>
        <v>1</v>
      </c>
    </row>
    <row r="45" spans="1:16">
      <c r="A45" s="150"/>
      <c r="B45" s="121"/>
      <c r="C45" s="192">
        <f>IF(SIN(RADIANS(39.5*P5))&lt;0,(SIN(RADIANS(39.5*P5)))*0.3,-0.001)</f>
        <v>-0.10280675269018635</v>
      </c>
      <c r="D45" s="145">
        <f>(B24*C50+B25*C48+B26*C46+B27*C44+B28*C42+B29*C40+B30*C38+B31*C36+B32*C34+B33*C32+B34*C30+B35*C28+B36*C26+B37*C24+B38*C22+B39*C20+B40*C18+B41*C16+B42*C14+B43*C12)*-Q5</f>
        <v>1.9321243497149782E-2</v>
      </c>
      <c r="E45" s="351" t="str">
        <f>IF(AND(ABS(D45)&lt;(ABS(D44)),ABS(D45)&lt;ABS(D46),D46&gt;0),SUM(D7:D45)," ")</f>
        <v xml:space="preserve"> </v>
      </c>
      <c r="F45" s="441"/>
      <c r="N45" s="311"/>
      <c r="O45" s="387" t="str">
        <f>IF(E45&lt;0,39," ")</f>
        <v xml:space="preserve"> </v>
      </c>
      <c r="P45" s="52">
        <f t="shared" si="1"/>
        <v>1</v>
      </c>
    </row>
    <row r="46" spans="1:16">
      <c r="A46" s="150"/>
      <c r="B46" s="122"/>
      <c r="C46" s="146">
        <f>IF(SIN(RADIANS(40.5*P5))&lt;0,(SIN(RADIANS(40.5*P5)))*0.3,0)</f>
        <v>-5.9472914497535619E-2</v>
      </c>
      <c r="D46" s="145">
        <f>(B25*C50+B26*C48+B27*C46+B28*C44+B29*C42+B30*C40+B31*C38+B32*C36+B33*C34+B34*C32+B35*C30+B36*C28+B37*C26+B38*C24+B39*C22+B40*C20+B41*C18+B42*C16+B43*C14)*-Q5</f>
        <v>9.1929616988171235E-3</v>
      </c>
      <c r="E46" s="351" t="str">
        <f>IF(AND(ABS(D46)&lt;(ABS(D45)),ABS(D46)&lt;ABS(D47),D47&gt;0),SUM(D7:D46)," ")</f>
        <v xml:space="preserve"> </v>
      </c>
      <c r="F46" s="441"/>
      <c r="N46" s="311"/>
      <c r="O46" s="387" t="str">
        <f>IF(E46&lt;0,40," ")</f>
        <v xml:space="preserve"> </v>
      </c>
      <c r="P46" s="52">
        <f t="shared" si="1"/>
        <v>1</v>
      </c>
    </row>
    <row r="47" spans="1:16">
      <c r="A47" s="151"/>
      <c r="B47" s="122"/>
      <c r="C47" s="190">
        <f>IF(SIN(RADIANS(41.5*P5))&lt;0,(SIN(RADIANS(41.5*P5)))*0.3,0)</f>
        <v>-1.4799656860368812E-2</v>
      </c>
      <c r="D47" s="213">
        <f>(B26*C50+B27*C48+B28*C46+B29*C44+B30*C42+B31*C40+B32*C38+B33*C36+B34*C34+B35*C32+B36*C30+B37*C28+B38*C26+B39*C24+B40*C22+B41*C20+B42*C18+B43*C16)*-Q5</f>
        <v>2.6405974036905816E-3</v>
      </c>
      <c r="E47" s="351" t="str">
        <f>IF(AND(ABS(D47)&lt;(ABS(D46)),ABS(D47)&lt;ABS(D48),D48&gt;0),SUM(D7:D47)," ")</f>
        <v xml:space="preserve"> </v>
      </c>
      <c r="F47" s="441"/>
      <c r="N47" s="311"/>
      <c r="O47" s="387" t="str">
        <f>IF(E47&lt;0,41," ")</f>
        <v xml:space="preserve"> </v>
      </c>
      <c r="P47" s="52">
        <f t="shared" si="1"/>
        <v>1</v>
      </c>
    </row>
    <row r="48" spans="1:16">
      <c r="A48" s="151"/>
      <c r="B48" s="123"/>
      <c r="C48" s="254">
        <f>IF(SIN(RADIANS(42.5*P5))&lt;0,(SIN(RADIANS(42.5*P5)))*0.3,0)</f>
        <v>0</v>
      </c>
      <c r="D48" s="213">
        <f>(B27*C50+B28*C48+B29*C46+B30*C44+B31*C42+B32*C40+B33*C38+B34*C36+B35*C34+B36*C32+B37*C30+B38*C28+B39*C26+B40*C24+B41*C22+B42*C20+B43*C18)*-Q5</f>
        <v>0</v>
      </c>
      <c r="E48" s="351" t="str">
        <f>IF(AND(ABS(D48)&lt;(ABS(D47)),ABS(D48)&lt;ABS(D49),D49&gt;0),SUM(D7:D48)," ")</f>
        <v xml:space="preserve"> </v>
      </c>
      <c r="F48" s="441"/>
      <c r="N48" s="311"/>
      <c r="O48" s="387" t="str">
        <f>IF(E48&lt;0,42," ")</f>
        <v xml:space="preserve"> </v>
      </c>
      <c r="P48" s="52">
        <f t="shared" si="1"/>
        <v>0</v>
      </c>
    </row>
    <row r="49" spans="1:16">
      <c r="A49" s="151"/>
      <c r="B49" s="123"/>
      <c r="C49" s="254">
        <f>IF(SIN(RADIANS(43.5*P5))&lt;0,(SIN(RADIANS(43.5*P5)))*0.3,0)</f>
        <v>0</v>
      </c>
      <c r="D49" s="254">
        <f>(B28*C50+B29*C48+B30*C46+B31*C44+B32*C42+B33*C40+B34*C38+B35*C36+B36*C34+B37*C32+B38*C30+B39*C28+B40*C26+B41*C24+B42*C22+B43*C20)*-Q5</f>
        <v>0</v>
      </c>
      <c r="E49" s="351" t="str">
        <f>IF(AND(ABS(D49)&lt;(ABS(D48)),ABS(D49)&lt;ABS(D50),D50&gt;0),SUM(D7:D49)," ")</f>
        <v xml:space="preserve"> </v>
      </c>
      <c r="F49" s="442"/>
      <c r="N49" s="311"/>
      <c r="O49" s="387" t="str">
        <f>IF(E49&lt;0,43," ")</f>
        <v xml:space="preserve"> </v>
      </c>
      <c r="P49" s="52">
        <f t="shared" si="1"/>
        <v>0</v>
      </c>
    </row>
    <row r="50" spans="1:16">
      <c r="A50" s="151"/>
      <c r="B50" s="127"/>
      <c r="C50" s="254">
        <v>0</v>
      </c>
      <c r="D50" s="254">
        <f>(B29*C50+B30*C48+B31*C46+B32*C44+B33*C42+B34*C40+B35*C38+B36*C36+B37*C34+B38*C32+B39*C30+B40*C28+B41*C26+B42*C24+B43*C22)*-Q5</f>
        <v>0</v>
      </c>
      <c r="E50" s="351" t="str">
        <f>IF(AND(ABS(D50)&lt;(ABS(D49)),ABS(D50)&lt;ABS(D51),D51&gt;0),SUM(D7:D50)," ")</f>
        <v xml:space="preserve"> </v>
      </c>
      <c r="F50" s="441"/>
      <c r="N50" s="311"/>
      <c r="O50" s="387" t="str">
        <f>IF(E50&lt;0,44," ")</f>
        <v xml:space="preserve"> </v>
      </c>
      <c r="P50" s="52">
        <f t="shared" si="1"/>
        <v>0</v>
      </c>
    </row>
    <row r="51" spans="1:16">
      <c r="A51" s="182"/>
      <c r="B51" s="182"/>
      <c r="C51" s="193"/>
      <c r="D51" s="254">
        <f>(B30*C50+B31*C48+B32*C46+B33*C44+B34*C42+B35*C40+B36*C38+B37*C36+B38*C34+B39*C32+B40*C30+B41*C28+B42*C26+B43*C24)*-Q5</f>
        <v>0</v>
      </c>
      <c r="E51" s="351" t="str">
        <f>IF(AND(ABS(D51)&lt;(ABS(D50)),ABS(D51)&lt;ABS(D52),D52&gt;0),SUM(D7:D51)," ")</f>
        <v xml:space="preserve"> </v>
      </c>
      <c r="F51" s="441"/>
      <c r="N51" s="311"/>
      <c r="O51" s="387" t="str">
        <f>IF(E51&lt;0,45," ")</f>
        <v xml:space="preserve"> </v>
      </c>
      <c r="P51" s="52">
        <f t="shared" si="1"/>
        <v>0</v>
      </c>
    </row>
    <row r="52" spans="1:16">
      <c r="A52" s="182"/>
      <c r="B52" s="182"/>
      <c r="C52" s="193"/>
      <c r="D52" s="254">
        <f>(B31*C50+B32*C48+B33*C46+B34*C44+B35*C42+B36*C40+B37*C38+B38*C36+B39*C34+B40*C32+B41*C30+B42*C28+B43*C26)*-Q5</f>
        <v>0</v>
      </c>
      <c r="E52" s="351" t="str">
        <f>IF(AND(ABS(D52)&lt;(ABS(D51)),ABS(D52)&lt;ABS(D53),D53&gt;0),SUM(D7:D52)," ")</f>
        <v xml:space="preserve"> </v>
      </c>
      <c r="F52" s="442"/>
      <c r="N52" s="311"/>
      <c r="O52" s="387" t="str">
        <f>IF(E52&lt;0,46," ")</f>
        <v xml:space="preserve"> </v>
      </c>
      <c r="P52" s="52">
        <f t="shared" si="1"/>
        <v>0</v>
      </c>
    </row>
    <row r="53" spans="1:16">
      <c r="A53" s="212"/>
      <c r="B53" s="212"/>
      <c r="C53" s="193"/>
      <c r="D53" s="254">
        <f>(B32*C50+B33*C48+B34*C46+B35*C44+B36*C42+B37*C40+B38*C38+B39*C36+B40*C34+B41*C32+B42*C30+B43*C28)*-Q5</f>
        <v>0</v>
      </c>
      <c r="E53" s="351" t="str">
        <f>IF(AND(ABS(D53)&lt;(ABS(D52)),ABS(D53)&lt;ABS(D54),D54&gt;0),SUM(D7:D53)," ")</f>
        <v xml:space="preserve"> </v>
      </c>
      <c r="F53" s="442"/>
      <c r="N53" s="311"/>
      <c r="O53" s="387" t="str">
        <f>IF(E53&lt;0,47," ")</f>
        <v xml:space="preserve"> </v>
      </c>
      <c r="P53" s="52">
        <f t="shared" si="1"/>
        <v>0</v>
      </c>
    </row>
    <row r="54" spans="1:16">
      <c r="A54" s="212"/>
      <c r="B54" s="212"/>
      <c r="C54" s="193"/>
      <c r="D54" s="254">
        <f>(B33*C50+B34*C48+B35*C46+B36*C44+B37*C42+B38*C40+B39*C38+B40*C36+B41*C34+B42*C32+B43*C30)*-Q5</f>
        <v>0</v>
      </c>
      <c r="E54" s="351" t="str">
        <f>IF(AND(ABS(D54)&lt;(ABS(D53)),ABS(D54)&lt;ABS(D55),D55&gt;0),SUM(D7:D54)," ")</f>
        <v xml:space="preserve"> </v>
      </c>
      <c r="F54" s="441"/>
      <c r="N54" s="311"/>
      <c r="O54" s="387" t="str">
        <f>IF(E54&lt;0,48," ")</f>
        <v xml:space="preserve"> </v>
      </c>
      <c r="P54" s="52">
        <f t="shared" si="1"/>
        <v>0</v>
      </c>
    </row>
    <row r="55" spans="1:16">
      <c r="A55" s="212"/>
      <c r="B55" s="212"/>
      <c r="C55" s="193"/>
      <c r="D55" s="254">
        <f>(B34*C50+B35*C48+B36*C46+B37*C44+B38*C42+B39*C40+B40*C38+B41*C36+B42*C34+B43*C32)*-Q5</f>
        <v>0</v>
      </c>
      <c r="N55" s="193"/>
      <c r="P55" s="52">
        <f t="shared" si="1"/>
        <v>0</v>
      </c>
    </row>
    <row r="56" spans="1:16">
      <c r="A56" s="212"/>
      <c r="B56" s="212"/>
      <c r="C56" s="193"/>
      <c r="D56" s="254">
        <f>(B35*C50+B36*C48+B37*C46+B38*C44+B39*C42+B40*C40+B41*C38+B42*C36+B43*C34)*-Q5</f>
        <v>0</v>
      </c>
      <c r="N56" s="193"/>
      <c r="P56" s="52">
        <f t="shared" si="1"/>
        <v>0</v>
      </c>
    </row>
    <row r="57" spans="1:16">
      <c r="A57" s="212"/>
      <c r="B57" s="212"/>
      <c r="C57" s="212"/>
      <c r="D57" s="190">
        <f>(B36*C50+B37*C48+B38*C46+B39*C44+B40*C42+B41*C40+B42*C38+B43*C36)*-Q5</f>
        <v>0</v>
      </c>
      <c r="N57" s="193"/>
      <c r="P57" s="52">
        <f t="shared" si="1"/>
        <v>0</v>
      </c>
    </row>
    <row r="58" spans="1:16">
      <c r="A58" s="212"/>
      <c r="B58" s="212"/>
      <c r="C58" s="212"/>
      <c r="D58" s="190">
        <f>(B37*C50+B38*C48+B39*C46+B40*C44+B41*C42+B42*C40+B43*C38)*-Q5</f>
        <v>0</v>
      </c>
      <c r="N58" s="193"/>
      <c r="P58" s="52">
        <f t="shared" si="1"/>
        <v>0</v>
      </c>
    </row>
    <row r="59" spans="1:16">
      <c r="A59" s="212"/>
      <c r="B59" s="212"/>
      <c r="C59" s="212"/>
      <c r="D59" s="190">
        <f>(B38*C50+B39*C48+B40*C46+B41*C44+B42*C42+B43*C40)*-Q5</f>
        <v>0</v>
      </c>
      <c r="N59" s="193"/>
      <c r="P59" s="52">
        <f t="shared" si="1"/>
        <v>0</v>
      </c>
    </row>
    <row r="60" spans="1:16">
      <c r="A60" s="212"/>
      <c r="B60" s="212"/>
      <c r="C60" s="212"/>
      <c r="D60" s="190">
        <f>(B39*C50+B40*C48+B41*C46+B42*C44+B43*C42)*-Q5</f>
        <v>0</v>
      </c>
      <c r="N60" s="193"/>
      <c r="P60" s="52">
        <f t="shared" si="1"/>
        <v>0</v>
      </c>
    </row>
    <row r="61" spans="1:16">
      <c r="A61" s="212"/>
      <c r="B61" s="212"/>
      <c r="C61" s="212"/>
      <c r="D61" s="190">
        <f>(B40*C50+B41*C48+B42*C46+B43*C44)*-Q5</f>
        <v>0</v>
      </c>
      <c r="N61" s="193"/>
      <c r="P61" s="52">
        <f t="shared" si="1"/>
        <v>0</v>
      </c>
    </row>
    <row r="62" spans="1:16">
      <c r="A62" s="212"/>
      <c r="B62" s="212"/>
      <c r="C62" s="212"/>
      <c r="D62" s="254">
        <f>(B41*C50+B42*C48+B43*C46)*-Q5</f>
        <v>0</v>
      </c>
      <c r="N62" s="193"/>
      <c r="P62" s="52">
        <f t="shared" si="1"/>
        <v>0</v>
      </c>
    </row>
    <row r="63" spans="1:16">
      <c r="A63" s="212"/>
      <c r="B63" s="212"/>
      <c r="C63" s="212"/>
      <c r="D63" s="254">
        <f>(B42*C50+B43*C48)*-Q5</f>
        <v>0</v>
      </c>
      <c r="N63" s="193"/>
      <c r="P63" s="52">
        <f t="shared" si="1"/>
        <v>0</v>
      </c>
    </row>
    <row r="64" spans="1:16">
      <c r="A64" s="212"/>
      <c r="B64" s="212"/>
      <c r="C64" s="212"/>
      <c r="D64" s="254">
        <f>(B43*C50)*-Q5</f>
        <v>0</v>
      </c>
      <c r="N64" s="193"/>
      <c r="P64" s="545">
        <f t="shared" si="1"/>
        <v>0</v>
      </c>
    </row>
    <row r="65" spans="1:16">
      <c r="A65" s="212"/>
      <c r="B65" s="212"/>
      <c r="C65" s="212"/>
      <c r="D65" s="193"/>
      <c r="N65" s="193"/>
      <c r="P65" s="13">
        <f>SUM(P20:P64)</f>
        <v>41</v>
      </c>
    </row>
    <row r="66" spans="1:16">
      <c r="A66" s="212"/>
      <c r="B66" s="212"/>
      <c r="C66" s="212"/>
      <c r="D66" s="193"/>
      <c r="N66" s="193"/>
    </row>
    <row r="67" spans="1:16">
      <c r="A67" s="212"/>
      <c r="B67" s="212"/>
      <c r="C67" s="212"/>
      <c r="D67" s="193"/>
      <c r="N67" s="193"/>
    </row>
    <row r="68" spans="1:16" ht="14" thickBot="1">
      <c r="B68" s="182"/>
      <c r="C68" s="182"/>
      <c r="N68" s="185"/>
    </row>
    <row r="69" spans="1:16" ht="14" thickBot="1">
      <c r="C69" s="82" t="s">
        <v>404</v>
      </c>
      <c r="D69" s="83" t="s">
        <v>217</v>
      </c>
      <c r="N69" s="185"/>
    </row>
    <row r="70" spans="1:16">
      <c r="F70" s="361"/>
      <c r="N70" s="185"/>
    </row>
    <row r="71" spans="1:16">
      <c r="C71" s="194" t="s">
        <v>386</v>
      </c>
      <c r="D71" s="194" t="s">
        <v>134</v>
      </c>
      <c r="F71" s="362" t="s">
        <v>323</v>
      </c>
      <c r="N71" s="185"/>
    </row>
    <row r="72" spans="1:16">
      <c r="C72" s="12">
        <f>I19</f>
        <v>555.47149897173131</v>
      </c>
      <c r="D72" s="12">
        <f>D3</f>
        <v>522.71136873039211</v>
      </c>
      <c r="E72" s="360" t="s">
        <v>290</v>
      </c>
      <c r="F72" s="350">
        <f>F4</f>
        <v>360</v>
      </c>
      <c r="N72" s="185"/>
    </row>
    <row r="73" spans="1:16">
      <c r="C73" s="197" t="s">
        <v>417</v>
      </c>
      <c r="D73" s="195" t="s">
        <v>330</v>
      </c>
      <c r="E73" s="360" t="s">
        <v>400</v>
      </c>
      <c r="F73" s="86">
        <f>F5</f>
        <v>220</v>
      </c>
      <c r="N73" s="185"/>
    </row>
    <row r="74" spans="1:16">
      <c r="B74" s="201" t="s">
        <v>61</v>
      </c>
      <c r="C74" s="198" t="s">
        <v>53</v>
      </c>
      <c r="D74" s="196" t="s">
        <v>53</v>
      </c>
      <c r="E74" s="360" t="s">
        <v>401</v>
      </c>
      <c r="F74" s="80">
        <f>F6</f>
        <v>200</v>
      </c>
      <c r="N74" s="185"/>
    </row>
    <row r="75" spans="1:16">
      <c r="B75" s="200" t="s">
        <v>262</v>
      </c>
      <c r="C75" s="191">
        <f>SIN(RADIANS(4.5*P98))</f>
        <v>0.1447879493218977</v>
      </c>
      <c r="D75" s="190">
        <v>0</v>
      </c>
      <c r="E75" s="360" t="s">
        <v>322</v>
      </c>
      <c r="F75" s="80">
        <f>SUM(N76:N108)*10</f>
        <v>200</v>
      </c>
      <c r="N75" s="185"/>
    </row>
    <row r="76" spans="1:16">
      <c r="A76" s="5" t="s">
        <v>216</v>
      </c>
      <c r="B76" s="120">
        <v>7.6</v>
      </c>
      <c r="C76" s="133">
        <f>SIN(RADIANS(13.5*P98))</f>
        <v>0.42222277014996545</v>
      </c>
      <c r="D76" s="144">
        <f>B76*C76*0.015</f>
        <v>4.8133395797096058E-2</v>
      </c>
      <c r="E76" s="359" t="s">
        <v>150</v>
      </c>
      <c r="F76" s="80">
        <f>F7</f>
        <v>180</v>
      </c>
      <c r="N76" s="155">
        <f t="shared" ref="N76:N108" si="3">IF(B76&gt;0,1,0)</f>
        <v>1</v>
      </c>
    </row>
    <row r="77" spans="1:16">
      <c r="A77" s="5" t="s">
        <v>160</v>
      </c>
      <c r="B77" s="227">
        <v>7.3</v>
      </c>
      <c r="C77" s="133">
        <f>SIN(RADIANS(22.5*P98))</f>
        <v>0.66425243791128175</v>
      </c>
      <c r="D77" s="145">
        <f>(B76*C77+B77*C76)*0.015</f>
        <v>0.12195817125330732</v>
      </c>
      <c r="E77" s="359" t="s">
        <v>443</v>
      </c>
      <c r="F77" s="80">
        <f>F8</f>
        <v>120</v>
      </c>
      <c r="N77" s="155">
        <f t="shared" si="3"/>
        <v>1</v>
      </c>
    </row>
    <row r="78" spans="1:16">
      <c r="A78" s="5" t="s">
        <v>462</v>
      </c>
      <c r="B78" s="110">
        <v>7</v>
      </c>
      <c r="C78" s="133">
        <f>SIN(RADIANS(31.5*P98))</f>
        <v>0.85058174817918619</v>
      </c>
      <c r="D78" s="145">
        <f>(B76*C78+B77*C77+B78*C76)*0.015</f>
        <v>0.21403535210945895</v>
      </c>
      <c r="E78" s="359"/>
      <c r="F78" s="194" t="s">
        <v>348</v>
      </c>
      <c r="N78" s="155">
        <f t="shared" si="3"/>
        <v>1</v>
      </c>
    </row>
    <row r="79" spans="1:16">
      <c r="A79" s="5" t="s">
        <v>398</v>
      </c>
      <c r="B79" s="202">
        <v>6.7</v>
      </c>
      <c r="C79" s="133">
        <f>SIN(RADIANS(40.5*P98))</f>
        <v>0.96558620550424057</v>
      </c>
      <c r="D79" s="145">
        <f>(B76*C79+B77*C78+B78*C77+B79*C76)*0.015</f>
        <v>0.31539542323386044</v>
      </c>
      <c r="E79" s="359" t="s">
        <v>177</v>
      </c>
      <c r="F79" s="52">
        <v>0</v>
      </c>
      <c r="N79" s="155">
        <f t="shared" si="3"/>
        <v>1</v>
      </c>
    </row>
    <row r="80" spans="1:16">
      <c r="A80" s="5" t="s">
        <v>196</v>
      </c>
      <c r="B80" s="110">
        <v>6.4</v>
      </c>
      <c r="C80" s="133">
        <f>SIN(RADIANS(49.5*P98))</f>
        <v>0.99962220299734683</v>
      </c>
      <c r="D80" s="145">
        <f>(B76*C80+B77*C79+B78*C78+B79*C77+B80*C76)*0.015</f>
        <v>0.41629046014770688</v>
      </c>
      <c r="E80" s="359" t="s">
        <v>178</v>
      </c>
      <c r="F80" s="51">
        <f>((((F76-F77)/2)/360)*(60/F3))*1000</f>
        <v>0.5</v>
      </c>
      <c r="N80" s="155">
        <f t="shared" si="3"/>
        <v>1</v>
      </c>
    </row>
    <row r="81" spans="1:16">
      <c r="A81" s="5" t="s">
        <v>197</v>
      </c>
      <c r="B81" s="202">
        <v>6.1</v>
      </c>
      <c r="C81" s="133">
        <f>SIN(RADIANS(58.5*P98))</f>
        <v>0.94983567928091761</v>
      </c>
      <c r="D81" s="145">
        <f>(B76*C81+B77*C80+B78*C79+B79*C78+B80*C77+B81*C76)*0.015</f>
        <v>0.50701153344439243</v>
      </c>
      <c r="E81" s="359" t="s">
        <v>179</v>
      </c>
      <c r="F81" s="51">
        <f>(((F76/2)/360)*(60/F3))*1000</f>
        <v>1.5</v>
      </c>
      <c r="N81" s="155">
        <f t="shared" si="3"/>
        <v>1</v>
      </c>
    </row>
    <row r="82" spans="1:16">
      <c r="A82" s="5" t="s">
        <v>198</v>
      </c>
      <c r="B82" s="110">
        <v>5.8</v>
      </c>
      <c r="C82" s="133">
        <f>SIN(RADIANS(67.5*P98))</f>
        <v>0.8204014435255137</v>
      </c>
      <c r="D82" s="145">
        <f>(B76*C82+B77*C81+B78*C80+B79*C79+B80*C78+B81*C77+B82*C76)*0.015</f>
        <v>0.57870284330819777</v>
      </c>
      <c r="E82" s="359" t="s">
        <v>251</v>
      </c>
      <c r="F82" s="51">
        <f>((((F76/2)+(F77/2))/360)*(60/F3))*1000</f>
        <v>2.5</v>
      </c>
      <c r="N82" s="155">
        <f t="shared" si="3"/>
        <v>1</v>
      </c>
    </row>
    <row r="83" spans="1:16">
      <c r="A83" s="5" t="s">
        <v>58</v>
      </c>
      <c r="B83" s="110">
        <v>5.5</v>
      </c>
      <c r="C83" s="133">
        <f>SIN(RADIANS(76.5*P98))</f>
        <v>0.62217310016220428</v>
      </c>
      <c r="D83" s="145">
        <f>(B76*C83+B77*C82+B78*C81+B79*C80+B80*C79+B81*C78+B82*C77+B83*C76)*0.015</f>
        <v>0.62410431553272105</v>
      </c>
      <c r="E83" s="359" t="s">
        <v>331</v>
      </c>
      <c r="F83" s="51">
        <f>F81*2</f>
        <v>3</v>
      </c>
      <c r="N83" s="155">
        <f t="shared" si="3"/>
        <v>1</v>
      </c>
    </row>
    <row r="84" spans="1:16">
      <c r="A84" s="5" t="s">
        <v>8</v>
      </c>
      <c r="B84" s="110">
        <v>5.2</v>
      </c>
      <c r="C84" s="133">
        <f>SIN(RADIANS(85.5*P98))</f>
        <v>0.37177292855421212</v>
      </c>
      <c r="D84" s="145">
        <f>(B76*C84+B77*C83+B78*C82+B79*C81+B80*C80+B81*C79+B82*C78+B83*C77+B84*C76)*0.015</f>
        <v>0.63816038924320317</v>
      </c>
      <c r="F84" s="93"/>
      <c r="N84" s="155">
        <f t="shared" si="3"/>
        <v>1</v>
      </c>
    </row>
    <row r="85" spans="1:16">
      <c r="A85" s="5" t="s">
        <v>256</v>
      </c>
      <c r="B85" s="110">
        <v>4.9000000000000004</v>
      </c>
      <c r="C85" s="133">
        <f>SIN(RADIANS(94.5*P98))</f>
        <v>9.0198035040858979E-2</v>
      </c>
      <c r="D85" s="145">
        <f>(B76*C85+B77*C84+B78*C83+B79*C82+B80*C81+B81*C80+B82*C79+B83*C78+B84*C77+B85*C76)*0.015</f>
        <v>0.61844394691466931</v>
      </c>
      <c r="E85" s="495" t="s">
        <v>119</v>
      </c>
      <c r="F85" s="497" t="s">
        <v>119</v>
      </c>
      <c r="N85" s="155">
        <f t="shared" si="3"/>
        <v>1</v>
      </c>
    </row>
    <row r="86" spans="1:16">
      <c r="A86" s="5" t="s">
        <v>275</v>
      </c>
      <c r="B86" s="110">
        <v>4.5999999999999996</v>
      </c>
      <c r="C86" s="133">
        <f>IF(SIN(RADIANS(103.5*P98))&lt;0,SIN(RADIANS(103.5*P98))*0.2,0)</f>
        <v>-3.9788068527882574E-2</v>
      </c>
      <c r="D86" s="145">
        <f>(B76*C86+B77*C85+B78*C84+B79*C83+B80*C82+B81*C81+B82*C80+B83*C79+B84*C78+B85*C77+B86*C76)*0.015</f>
        <v>0.58350319762161484</v>
      </c>
      <c r="E86" s="496" t="s">
        <v>120</v>
      </c>
      <c r="F86" s="498" t="s">
        <v>122</v>
      </c>
      <c r="N86" s="155">
        <f t="shared" si="3"/>
        <v>1</v>
      </c>
    </row>
    <row r="87" spans="1:16">
      <c r="A87" s="5" t="s">
        <v>367</v>
      </c>
      <c r="B87" s="110">
        <v>4.3</v>
      </c>
      <c r="C87" s="133">
        <f>IF(SIN(RADIANS(112.5*P98))&lt;0,SIN(RADIANS(112.5*P98))*0.2,0)</f>
        <v>-9.4279347365199537E-2</v>
      </c>
      <c r="D87" s="146">
        <f>(B76*C87+B77*C86+B78*C85+B79*C84+B80*C83+B81*C82+B82*C81+B83*C80+B84*C79+B85*C78+B86*C77+B87*C76)*0.015</f>
        <v>0.54252948884948193</v>
      </c>
      <c r="E87" s="208" t="str">
        <f>IF(F87=" "," ",12*J97)</f>
        <v xml:space="preserve"> </v>
      </c>
      <c r="F87" s="205" t="str">
        <f>IF(AND(D88&lt;0,D87&gt;0),SUM(D76:D87)," ")</f>
        <v xml:space="preserve"> </v>
      </c>
      <c r="N87" s="155">
        <f t="shared" si="3"/>
        <v>1</v>
      </c>
    </row>
    <row r="88" spans="1:16">
      <c r="A88" s="5" t="s">
        <v>458</v>
      </c>
      <c r="B88" s="110">
        <v>4</v>
      </c>
      <c r="C88" s="133">
        <f>IF(SIN(RADIANS(123.5*P98))&lt;0,SIN(RADIANS(123.5*P98))*0.2,0)</f>
        <v>-0.14973330539292015</v>
      </c>
      <c r="D88" s="146">
        <f>(B76*C88+B77*C87+B78*C86+B79*C85+B80*C84+B81*C83+B82*C82+B83*C81+B84*C80+B85*C79+B86*C78+B87*C77+B88*C76)*0.015</f>
        <v>0.49565828592533201</v>
      </c>
      <c r="E88" s="208" t="str">
        <f>IF(F88=" "," ",13*J97)</f>
        <v xml:space="preserve"> </v>
      </c>
      <c r="F88" s="205" t="str">
        <f>IF(AND(D89&lt;0,D88&gt;0),SUM(D76:D88)," ")</f>
        <v xml:space="preserve"> </v>
      </c>
      <c r="N88" s="155">
        <f t="shared" si="3"/>
        <v>1</v>
      </c>
    </row>
    <row r="89" spans="1:16">
      <c r="A89" s="5" t="s">
        <v>25</v>
      </c>
      <c r="B89" s="110">
        <v>3.7</v>
      </c>
      <c r="C89" s="133">
        <f>IF(SIN(RADIANS(130.5*P98))&lt;0,SIN(RADIANS(130.5*P98))*0.2,0)</f>
        <v>-0.17563835211383186</v>
      </c>
      <c r="D89" s="146">
        <f>(B76*C89+B77*C88+B78*C87+B79*C86+B80*C85+B81*C84+B82*C83+B83*C82+B84*C81+B85*C80+B86*C79+B87*C78+B88*C77+B89*C76)*0.015</f>
        <v>0.4465077075492665</v>
      </c>
      <c r="E89" s="208" t="str">
        <f>IF(F89=" "," ",14*J97)</f>
        <v xml:space="preserve"> </v>
      </c>
      <c r="F89" s="205" t="str">
        <f>IF(AND(D90&lt;0,D89&gt;0),SUM(D76:D89)," ")</f>
        <v xml:space="preserve"> </v>
      </c>
      <c r="N89" s="155">
        <f t="shared" si="3"/>
        <v>1</v>
      </c>
    </row>
    <row r="90" spans="1:16">
      <c r="A90" s="5" t="s">
        <v>388</v>
      </c>
      <c r="B90" s="110">
        <v>3.4</v>
      </c>
      <c r="C90" s="133">
        <f>IF(SIN(RADIANS(139.5*P98))&lt;0,SIN(RADIANS(139.5*P98))*0.2,0)</f>
        <v>-0.195683783681664</v>
      </c>
      <c r="D90" s="146">
        <f>(B76*C90+B77*C89+B78*C88+B79*C87+B80*C86+B81*C85+B82*C84+B83*C83+B84*C82+B85*C81+B86*C80+B87*C79+B88*C78+B89*C77+B90*C76)*0.015</f>
        <v>0.39586232255898024</v>
      </c>
      <c r="E90" s="208" t="str">
        <f>IF(F90=" "," ",15*J97)</f>
        <v xml:space="preserve"> </v>
      </c>
      <c r="F90" s="205" t="str">
        <f>IF(AND(D91&lt;0,D90&gt;0),SUM(D76:D90)," ")</f>
        <v xml:space="preserve"> </v>
      </c>
      <c r="N90" s="155">
        <f t="shared" si="3"/>
        <v>1</v>
      </c>
    </row>
    <row r="91" spans="1:16">
      <c r="A91" s="5" t="s">
        <v>20</v>
      </c>
      <c r="B91" s="110">
        <v>3.1</v>
      </c>
      <c r="C91" s="133">
        <f>IF(SIN(RADIANS(148.5*P98))&lt;0,SIN(RADIANS(148.5*P98))*0.2,0)</f>
        <v>-0.19932030790546634</v>
      </c>
      <c r="D91" s="146">
        <f>(B76*C91+B77*C90+B78*C89+B79*C88+B80*C87+B81*C86+B82*C85+B83*C84+B84*C83+B85*C82+B86*C81+B87*C80+B88*C79+B89*C78+B90*C77+B91*C76)*0.015</f>
        <v>0.345682950833748</v>
      </c>
      <c r="E91" s="208" t="str">
        <f>IF(F91=" "," ",16*J97)</f>
        <v xml:space="preserve"> </v>
      </c>
      <c r="F91" s="206" t="str">
        <f>IF(AND(D92&lt;0,D91&gt;0),SUM(D76:D91)," ")</f>
        <v xml:space="preserve"> </v>
      </c>
      <c r="N91" s="155">
        <f t="shared" si="3"/>
        <v>1</v>
      </c>
    </row>
    <row r="92" spans="1:16">
      <c r="A92" s="5" t="s">
        <v>50</v>
      </c>
      <c r="B92" s="110">
        <v>2.8</v>
      </c>
      <c r="C92" s="133">
        <f>IF(SIN(RADIANS(157.5*P98))&lt;0,SIN(RADIANS(157.5*P98))*0.2,0)</f>
        <v>-0.1862429869517607</v>
      </c>
      <c r="D92" s="146">
        <f>(B76*C92+B77*C91+B78*C90+B79*C89+B80*C88+B81*C87+B82*C86+B83*C85+B84*C84+B85*C83+B86*C82+B87*C81+B88*C80+B89*C79+B90*C78+B91*C77+B92*C76)*0.015</f>
        <v>0.2978913350828129</v>
      </c>
      <c r="E92" s="208" t="str">
        <f>IF(F92=" "," ",17*J97)</f>
        <v xml:space="preserve"> </v>
      </c>
      <c r="F92" s="206" t="str">
        <f>IF(AND(D93&lt;0,D92&gt;0),SUM(D76:D92)," ")</f>
        <v xml:space="preserve"> </v>
      </c>
      <c r="N92" s="155">
        <f t="shared" si="3"/>
        <v>1</v>
      </c>
    </row>
    <row r="93" spans="1:16">
      <c r="A93" s="5" t="s">
        <v>468</v>
      </c>
      <c r="B93" s="110">
        <v>2.5</v>
      </c>
      <c r="C93" s="133">
        <f>IF(SIN(RADIANS(166.5*P98))&lt;0,SIN(RADIANS(166.5*P98))*0.2,0)</f>
        <v>-0.15754840912132609</v>
      </c>
      <c r="D93" s="146">
        <f>(B76*C93+B77*C92+B78*C91+B79*C90+B80*C89+B81*C88+B82*C87+B83*C86+B84*C85+B85*C84+B86*C83+B87*C82+B88*C81+B89*C80+B90*C79+B91*C78+B92*C77+B93*C76)*0.015</f>
        <v>0.25420899464583013</v>
      </c>
      <c r="E93" s="208" t="str">
        <f>IF(F93=" "," ",18*J97)</f>
        <v xml:space="preserve"> </v>
      </c>
      <c r="F93" s="206" t="str">
        <f>IF(AND(D94&lt;0,D93&gt;0),SUM(D76:D93)," ")</f>
        <v xml:space="preserve"> </v>
      </c>
      <c r="N93" s="155">
        <f t="shared" si="3"/>
        <v>1</v>
      </c>
    </row>
    <row r="94" spans="1:16">
      <c r="A94" s="5" t="s">
        <v>469</v>
      </c>
      <c r="B94" s="110">
        <v>2.2000000000000002</v>
      </c>
      <c r="C94" s="133">
        <f>IF(SIN(RADIANS(175.5*P98))&lt;0,SIN(RADIANS(175.5*P98))*0.2,0)</f>
        <v>-0.11564273531332857</v>
      </c>
      <c r="D94" s="146">
        <f>(B76*C94+B77*C93+B78*C92+B79*C91+B80*C90+B81*C89+B82*C88+B83*C87+B84*C86+B85*C85+B86*C84+B87*C83+B88*C82+B89*C81+B90*C80+B91*C79+B92*C78+B93*C77+B94*C76)*0.015</f>
        <v>0.21601286886400525</v>
      </c>
      <c r="E94" s="208" t="str">
        <f>IF(F94=" "," ",19*J97)</f>
        <v xml:space="preserve"> </v>
      </c>
      <c r="F94" s="206" t="str">
        <f>IF(AND(D95&lt;0,D94&gt;0),SUM(D76:D94)," ")</f>
        <v xml:space="preserve"> </v>
      </c>
      <c r="N94" s="155">
        <f t="shared" si="3"/>
        <v>1</v>
      </c>
    </row>
    <row r="95" spans="1:16">
      <c r="A95" s="5" t="s">
        <v>470</v>
      </c>
      <c r="B95" s="110">
        <v>1.9</v>
      </c>
      <c r="C95" s="134">
        <f>IF(SIN(RADIANS(184.5*P98))&lt;0,SIN(RADIANS(184.5*P98))*0.2,0)</f>
        <v>-6.4039932325462359E-2</v>
      </c>
      <c r="D95" s="147">
        <f>(B76*C95+B77*C94+B78*C93+B79*C92+B80*C91+B81*C90+B82*C89+B83*C88+B84*C87+B85*C86+B86*C85+B87*C84+B88*C83+B89*C82+B90*C81+B91*C80+B92*C79+B93*C78+B94*C77+B95*C76)*0.015</f>
        <v>0.18421985493170695</v>
      </c>
      <c r="E95" s="208" t="str">
        <f>IF(F95=" "," ",20*J97)</f>
        <v xml:space="preserve"> </v>
      </c>
      <c r="F95" s="206" t="str">
        <f>IF(AND(D96&lt;0,D95&gt;0),SUM(D76:D95)," ")</f>
        <v xml:space="preserve"> </v>
      </c>
      <c r="N95" s="155">
        <f t="shared" si="3"/>
        <v>1</v>
      </c>
    </row>
    <row r="96" spans="1:16">
      <c r="A96" s="5" t="s">
        <v>471</v>
      </c>
      <c r="B96" s="111">
        <v>0</v>
      </c>
      <c r="C96" s="134">
        <f>IF(SIN(RADIANS(193.5*P98))&lt;0,SIN(RADIANS(193.5*P98))*0.2,0)</f>
        <v>-7.0671119755241138E-3</v>
      </c>
      <c r="D96" s="147">
        <f>(B76*C96+B77*C95+B78*C94+B79*C93+B80*C92+B81*C91+B82*C90+B83*C89+B84*C88+B85*C87+B86*C86+B87*C85+B88*C84+B89*C83+B90*C82+B91*C81+B92*C80+B93*C79+B94*C78+B95*C77+B96*C76)*0.015</f>
        <v>0.149076575731167</v>
      </c>
      <c r="E96" s="208" t="str">
        <f>IF(F96=" "," ",21*J97)</f>
        <v xml:space="preserve"> </v>
      </c>
      <c r="F96" s="206" t="str">
        <f>IF(AND(D97&lt;0,D96&gt;0),SUM(D76:D96)," ")</f>
        <v xml:space="preserve"> </v>
      </c>
      <c r="K96" s="425" t="s">
        <v>321</v>
      </c>
      <c r="L96" s="463"/>
      <c r="N96" s="155">
        <f t="shared" si="3"/>
        <v>0</v>
      </c>
      <c r="P96" s="502" t="s">
        <v>121</v>
      </c>
    </row>
    <row r="97" spans="1:17">
      <c r="A97" s="5" t="s">
        <v>184</v>
      </c>
      <c r="B97" s="111">
        <v>0</v>
      </c>
      <c r="C97" s="143">
        <f>IF(SIN(RADIANS(202.5*P98))&lt;0,(SIN(RADIANS(202.5*P98)))*0.2,0)</f>
        <v>0</v>
      </c>
      <c r="D97" s="146">
        <f>(B76*C97+B77*C96+B78*C95+B79*C94+B80*C93+B81*C92+B82*C91+B83*C90+B84*C89+B85*C88+B86*C87+B87*C86+B88*C85+B89*C84+B90*C83+B91*C82+B92*C81+B93*C80+B94*C79+B95*C78+B96*C77+B97*C76)*0.015</f>
        <v>0.11086203973912999</v>
      </c>
      <c r="E97" s="208" t="str">
        <f>IF(F97=" "," ",22*J97)</f>
        <v xml:space="preserve"> </v>
      </c>
      <c r="F97" s="206" t="str">
        <f>IF(AND(D98&lt;0,D97&gt;0),SUM(D76:D97)," ")</f>
        <v xml:space="preserve"> </v>
      </c>
      <c r="H97" s="348" t="s">
        <v>320</v>
      </c>
      <c r="I97" s="347" t="s">
        <v>319</v>
      </c>
      <c r="J97" s="494">
        <f>I18</f>
        <v>5.5905362175592818E-2</v>
      </c>
      <c r="K97" s="352">
        <f>(10/D3)*(1.5/(10/D3)-2+(F75/10)*2)</f>
        <v>2.226978640091525</v>
      </c>
      <c r="L97" s="442"/>
      <c r="N97" s="155">
        <f t="shared" si="3"/>
        <v>0</v>
      </c>
      <c r="P97" s="503" t="s">
        <v>96</v>
      </c>
    </row>
    <row r="98" spans="1:17">
      <c r="A98" s="5" t="s">
        <v>192</v>
      </c>
      <c r="B98" s="111">
        <v>0</v>
      </c>
      <c r="C98" s="135">
        <f>IF(SIN(RADIANS(211.5*P98))&lt;0,(SIN(RADIANS(211.5*P98)))*0.2,0)</f>
        <v>0</v>
      </c>
      <c r="D98" s="146">
        <f>(B76*C98+B77*C97+B78*C96+B79*C95+B80*C94+B81*C93+B82*C92+B83*C91+B84*C90+B85*C89+B86*C88+B87*C87+B88*C86+B89*C85+B90*C84+B91*C83+B92*C82+B93*C81+B94*C80+B95*C79+B96*C78+B97*C77+B98*C76)*0.015</f>
        <v>7.1164736271263962E-2</v>
      </c>
      <c r="E98" s="208" t="str">
        <f>IF(F98=" "," ",23*J97)</f>
        <v xml:space="preserve"> </v>
      </c>
      <c r="F98" s="206" t="str">
        <f>IF(AND(D99&lt;0,D98&gt;0),SUM(D76:D98)," ")</f>
        <v xml:space="preserve"> </v>
      </c>
      <c r="G98" s="462"/>
      <c r="H98" s="459"/>
      <c r="I98" s="459"/>
      <c r="N98" s="155">
        <f t="shared" si="3"/>
        <v>0</v>
      </c>
      <c r="P98" s="504">
        <v>1.85</v>
      </c>
      <c r="Q98" s="3"/>
    </row>
    <row r="99" spans="1:17">
      <c r="A99" s="138" t="s">
        <v>201</v>
      </c>
      <c r="B99" s="229">
        <v>0</v>
      </c>
      <c r="C99" s="251">
        <f>IF(SIN(RADIANS(220.5*P98))&lt;0,(SIN(RADIANS(220.5*P98)))*0.2,0)</f>
        <v>0</v>
      </c>
      <c r="D99" s="146">
        <f>(B76*C99+B77*C98+B78*C97+B79*C96+B80*C95+B81*C94+B82*C93+B83*C92+B84*C91+B85*C90+B86*C89+B87*C88+B88*C87+B89*C86+B90*C85+B91*C84+B92*C83+B93*C82+B94*C81+B95*C80+B96*C79+B97*C78+B98*C77+B99*C76)*0.015</f>
        <v>3.2534943694403046E-2</v>
      </c>
      <c r="E99" s="208">
        <f>IF(F99=" "," ",24*J97)</f>
        <v>1.3417286922142275</v>
      </c>
      <c r="F99" s="206">
        <f>IF(AND(D100&lt;0,D99&gt;0),SUM(D76:D99)," ")</f>
        <v>8.2079511332833555</v>
      </c>
      <c r="G99" s="462"/>
      <c r="H99" s="461"/>
      <c r="I99" s="460"/>
      <c r="N99" s="155">
        <f t="shared" si="3"/>
        <v>0</v>
      </c>
    </row>
    <row r="100" spans="1:17">
      <c r="A100" s="152" t="s">
        <v>202</v>
      </c>
      <c r="B100" s="229">
        <v>0</v>
      </c>
      <c r="C100" s="251">
        <f>IF(SIN(RADIANS(229.5*P98))&lt;0,(SIN(RADIANS(229.5*P5)))*0.2,0)</f>
        <v>0</v>
      </c>
      <c r="D100" s="146">
        <f>(B76*C100+B77*C99+B78*C98+B79*C97+B80*C96+B81*C95+B82*C94+B83*C93+B84*C92+B85*C91+B86*C90+B87*C89+B88*C88+B89*C87+B90*C86+B91*C85+B92*C84+B93*C83+B94*C82+B95*C81+B96*C80+B97*C79+B98*C78+B99*C77+B100*C76)*0.015</f>
        <v>-2.5665748975233701E-3</v>
      </c>
      <c r="E100" s="208" t="str">
        <f>IF(F100=" "," ",25*J97)</f>
        <v xml:space="preserve"> </v>
      </c>
      <c r="F100" s="206" t="str">
        <f>IF(AND(D101&lt;0,D100&gt;0),SUM(D76:D100)," ")</f>
        <v xml:space="preserve"> </v>
      </c>
      <c r="H100" s="346" t="s">
        <v>318</v>
      </c>
      <c r="I100" s="349">
        <f>D3</f>
        <v>522.71136873039211</v>
      </c>
      <c r="N100" s="155">
        <f t="shared" si="3"/>
        <v>0</v>
      </c>
    </row>
    <row r="101" spans="1:17">
      <c r="A101" s="152" t="s">
        <v>412</v>
      </c>
      <c r="B101" s="229">
        <v>0</v>
      </c>
      <c r="C101" s="143">
        <f>IF(SIN(RADIANS(238.5*P98))&lt;0,(SIN(RADIANS(238.5*P5)))*0.2,0)</f>
        <v>0</v>
      </c>
      <c r="D101" s="146">
        <f>(B76*C101+B77*C100+B78*C99+B79*C98+B80*C97+B81*C96+B82*C95+B83*C94+B84*C93+B85*C92+B86*C91+B87*C90+B88*C89+B89*C88+B90*C87+B91*C86+B92*C85+B93*C84+B94*C83+B95*C82+B96*C81+B97*C80+B98*C79+B99*C78+B100*C77+B101*C76)*0.015</f>
        <v>-3.1974917006767432E-2</v>
      </c>
      <c r="E101" s="208" t="str">
        <f>IF(F101=" "," ",26*J97)</f>
        <v xml:space="preserve"> </v>
      </c>
      <c r="F101" s="206" t="str">
        <f>IF(AND(D102&lt;0,D101&gt;0),SUM(D76:D101)," ")</f>
        <v xml:space="preserve"> </v>
      </c>
      <c r="N101" s="155">
        <f t="shared" si="3"/>
        <v>0</v>
      </c>
    </row>
    <row r="102" spans="1:17">
      <c r="A102" s="152" t="s">
        <v>413</v>
      </c>
      <c r="B102" s="255">
        <v>0</v>
      </c>
      <c r="C102" s="143">
        <f>IF(SIN(RADIANS(247.5*P98))&lt;0,(SIN(RADIANS(247.5*P5)))*0.2,0)</f>
        <v>0</v>
      </c>
      <c r="D102" s="146">
        <f>(B76*C102+B77*C101+B78*C100+B79*C99+B80*C98+B81*C97+B82*C96+B83*C95+B84*C94+B85*C93+B86*C92+B87*C91+B88*C90+B89*C89+B90*C88+B91*C87+B92*C86+B93*C85+B94*C84+B95*C83+B96*C82+B97*C81+B98*C80+B99*C79+B100*C78+B101*C77+B102*C76)*0.015</f>
        <v>-5.4002576901117677E-2</v>
      </c>
      <c r="E102" s="208" t="str">
        <f>IF(F102=" "," ",27*J97)</f>
        <v xml:space="preserve"> </v>
      </c>
      <c r="F102" s="206" t="str">
        <f>IF(AND(D103&lt;0,D102&gt;0),SUM(D76:D102)," ")</f>
        <v xml:space="preserve"> </v>
      </c>
      <c r="N102" s="155">
        <f t="shared" si="3"/>
        <v>0</v>
      </c>
      <c r="P102" s="316"/>
    </row>
    <row r="103" spans="1:17">
      <c r="A103" s="152" t="s">
        <v>414</v>
      </c>
      <c r="B103" s="255">
        <v>0</v>
      </c>
      <c r="C103" s="143">
        <f>IF(SIN(RADIANS(256.5*P98))&lt;0,(SIN(RADIANS(256.5*P5)))*0.2,0)</f>
        <v>0</v>
      </c>
      <c r="D103" s="146">
        <f>(B76*C103+B77*C102+B78*C101+B79*C100+B80*C99+B81*C98+B82*C97+B83*C96+B84*C95+B85*C94+B86*C93+B87*C92+B88*C91+B89*C90+B90*C89+B91*C88+B92*C87+B93*C86+B94*C85+B95*C84+B96*C83+B97*C82+B98*C81+B99*C80+B100*C79+B101*C78+B102*C77+B103*C76)*0.015</f>
        <v>-6.7580950058883649E-2</v>
      </c>
      <c r="E103" s="208" t="str">
        <f>IF(F103=" "," ",28*J97)</f>
        <v xml:space="preserve"> </v>
      </c>
      <c r="F103" s="206" t="str">
        <f>IF(AND(D104&lt;0,D103&gt;0),SUM(D76:D103)," ")</f>
        <v xml:space="preserve"> </v>
      </c>
      <c r="N103" s="155">
        <f t="shared" si="3"/>
        <v>0</v>
      </c>
      <c r="P103" s="250"/>
    </row>
    <row r="104" spans="1:17">
      <c r="A104" s="152" t="s">
        <v>415</v>
      </c>
      <c r="B104" s="255">
        <v>0</v>
      </c>
      <c r="C104" s="143">
        <v>0</v>
      </c>
      <c r="D104" s="146">
        <f>(B76*C104+B77*C103+B78*C102+B79*C101+B80*C100+B81*C99+B82*C98+B83*C97+B84*C96+B85*C95+B86*C94+B87*C93+B88*C92+B89*C91+B90*C90+B91*C89+B92*C88+B93*C87+B94*C86+B95*C85+B96*C84+B97*C83+B98*C82+B99*C81+B100*C80+B101*C79+B102*C78+B103*C77+B104*C76)*0.015</f>
        <v>-7.2349940147327901E-2</v>
      </c>
      <c r="E104" s="209" t="str">
        <f>IF(F104=" "," ",29*J97)</f>
        <v xml:space="preserve"> </v>
      </c>
      <c r="F104" s="207" t="str">
        <f>IF(AND(D105&lt;0,D104&gt;0),SUM(D76:D104)," ")</f>
        <v xml:space="preserve"> </v>
      </c>
      <c r="N104" s="155">
        <f t="shared" si="3"/>
        <v>0</v>
      </c>
      <c r="P104" s="250"/>
    </row>
    <row r="105" spans="1:17">
      <c r="A105" s="152" t="s">
        <v>219</v>
      </c>
      <c r="B105" s="255">
        <v>0</v>
      </c>
      <c r="C105" s="143">
        <v>0</v>
      </c>
      <c r="D105" s="145">
        <f>(B76*C105+B77*C104+B78*C103+B79*C102+B80*C101+B81*C100+B82*C99+B83*C98+B84*C97+B85*C96+B86*C95+B87*C94+B88*C93+B89*C92+B90*C91+B91*C90+B92*C89+B93*C88+B94*C87+B95*C86+B96*C85+B97*C84+B98*C83+B99*C82+B100*C81+B101*C80+B102*C79+B103*C78+B104*C77+B105*C76)*0.015</f>
        <v>-6.8688154612957728E-2</v>
      </c>
      <c r="E105" s="393" t="str">
        <f>IF(F105=" "," ",30*J97)</f>
        <v xml:space="preserve"> </v>
      </c>
      <c r="F105" s="207" t="str">
        <f>IF(AND(D106&lt;0,D105&gt;0),SUM(D76:D105)," ")</f>
        <v xml:space="preserve"> </v>
      </c>
      <c r="N105" s="155">
        <f t="shared" si="3"/>
        <v>0</v>
      </c>
      <c r="P105" s="250"/>
    </row>
    <row r="106" spans="1:17">
      <c r="A106" s="152" t="s">
        <v>220</v>
      </c>
      <c r="B106" s="255">
        <v>0</v>
      </c>
      <c r="C106" s="332"/>
      <c r="D106" s="145">
        <f>(B77*C105+B78*C104+B79*C103+B80*C102+B81*C101+B82*C100+B83*C99+B84*C98+B85*C97+B86*C96+B87*C95+B88*C94+B89*C93+B90*C92+B91*C91+B92*C90+B93*C89+B94*C88+B95*C87+B96*C86+B97*C85+B98*C84+B99*C83+B100*C82+B101*C81+B102*C80+B103*C79+B104*C78+B105*C77+B106*C76)*0.015</f>
        <v>-6.1500811435253912E-2</v>
      </c>
      <c r="E106" s="393" t="str">
        <f>IF(F106=" "," ",31*J97)</f>
        <v xml:space="preserve"> </v>
      </c>
      <c r="F106" s="207" t="str">
        <f>IF(AND(D107&lt;0,D106&gt;0),SUM(D76:D106)," ")</f>
        <v xml:space="preserve"> </v>
      </c>
      <c r="N106" s="155">
        <f t="shared" si="3"/>
        <v>0</v>
      </c>
      <c r="P106" s="250"/>
    </row>
    <row r="107" spans="1:17">
      <c r="A107" s="152" t="s">
        <v>456</v>
      </c>
      <c r="B107" s="255">
        <v>0</v>
      </c>
      <c r="C107" s="332"/>
      <c r="D107" s="145">
        <f>(B78*C105+B79*C104+B80*C103+B81*C102+B82*C101+B83*C100+B84*C99+B85*C98+B86*C97+B87*C96+B88*C95+B89*C94+B90*C93+B91*C92+B92*C91+B93*C90+B94*C89+B95*C88+B96*C87+B97*C86+B98*C85+B99*C84+B100*C83+B101*C82+B102*C81+B103*C80+B104*C79+B105*C78+B106*C77+B107*C76)*0.015</f>
        <v>-5.3184723873829949E-2</v>
      </c>
      <c r="E107" s="393" t="str">
        <f>IF(F107=" "," ",32*J97)</f>
        <v xml:space="preserve"> </v>
      </c>
      <c r="F107" s="207" t="str">
        <f>IF(AND(D108&lt;0,D107&gt;0),SUM(D76:D107)," ")</f>
        <v xml:space="preserve"> </v>
      </c>
      <c r="N107" s="155">
        <f t="shared" si="3"/>
        <v>0</v>
      </c>
      <c r="P107" s="333"/>
    </row>
    <row r="108" spans="1:17">
      <c r="A108" s="152" t="s">
        <v>457</v>
      </c>
      <c r="B108" s="252">
        <v>0</v>
      </c>
      <c r="C108" s="317"/>
      <c r="D108" s="145">
        <f>(B79*C105+B80*C104+B81*C103+B82*C102+B83*C101+B84*C100+B85*C99+B86*C98+B87*C97+B88*C96+B89*C95+B90*C94+B91*C93+B92*C92+B93*C91+B94*C90+B95*C89+B96*C88+B97*C87+B98*C86+B99*C85+B100*C84+B101*C83+B102*C82+B103*C81+B104*C80+B105*C79+B106*C78+B107*C77+B108*C76)*0.015</f>
        <v>-4.3961998382884088E-2</v>
      </c>
      <c r="E108" s="393" t="str">
        <f>IF(F108=" "," ",33*J97)</f>
        <v xml:space="preserve"> </v>
      </c>
      <c r="F108" s="207" t="str">
        <f>IF(AND(D109&lt;0,D108&gt;0),SUM(D76:D108)," ")</f>
        <v xml:space="preserve"> </v>
      </c>
      <c r="N108" s="155">
        <f t="shared" si="3"/>
        <v>0</v>
      </c>
    </row>
    <row r="109" spans="1:17">
      <c r="A109" s="132"/>
      <c r="C109" s="334"/>
      <c r="D109" s="145">
        <f>(B80*C105+B81*C104+B82*C103+B83*C102+B84*C101+B85*C100+B86*C99+B87*C98+B88*C97+B89*C96+B90*C95+B91*C94+B92*C93+B93*C92+B94*C91+B95*C90+B96*C89+B97*C88+B98*C87+B99*C86+B100*C85+B101*C84+B102*C83+B103*C82+B104*C81+B105*C80+B106*C79+B107*C78+B108*C77)*0.015</f>
        <v>-3.4791351644904482E-2</v>
      </c>
      <c r="E109" s="393" t="str">
        <f>IF(F109=" "," ",34*J97)</f>
        <v xml:space="preserve"> </v>
      </c>
      <c r="F109" s="207" t="str">
        <f>IF(AND(D110&lt;0,D109&gt;0),SUM(D76:D109)," ")</f>
        <v xml:space="preserve"> </v>
      </c>
      <c r="N109" s="185"/>
    </row>
    <row r="110" spans="1:17">
      <c r="A110" s="132"/>
      <c r="C110" s="334"/>
      <c r="D110" s="145">
        <f>(B81*C105+B82*C104+B83*C103+B84*C102+B85*C101+B86*C100+B87*C99+B88*C98+B89*C97+B90*C96+B91*C95+B92*C94+B93*C93+B94*C92+B95*C91+B96*C90+B97*C89+B98*C88+B99*C87+B100*C86+B101*C85+B102*C84+B103*C83+B104*C82+B105*C81+B106*C80+B107*C79+B108*C78)*0.015</f>
        <v>-2.5929987133809149E-2</v>
      </c>
      <c r="E110" s="393" t="str">
        <f>IF(F110=" "," ",35*J97)</f>
        <v xml:space="preserve"> </v>
      </c>
      <c r="F110" s="207" t="str">
        <f>IF(AND(D111&lt;0,D110&gt;0),SUM(D76:D110)," ")</f>
        <v xml:space="preserve"> </v>
      </c>
      <c r="N110" s="185"/>
    </row>
    <row r="111" spans="1:17">
      <c r="A111" s="132"/>
      <c r="C111" s="334"/>
      <c r="D111" s="145">
        <f>(B82*C105+B83*C104+B84*C103+B85*C102+B86*C101+B87*C100+B88*C99+B89*C98+B90*C97+B91*C96+B92*C95+B93*C94+B94*C93+B95*C92+B96*C91+B97*C90+B98*C89+B99*C88+B100*C87+B101*C86+B102*C85+B103*C84+B104*C83+B105*C82+B106*C81+B107*C80+B108*C79)*0.015</f>
        <v>-1.7861923067910051E-2</v>
      </c>
      <c r="E111" s="393" t="str">
        <f>IF(F111=" "," ",36*J97)</f>
        <v xml:space="preserve"> </v>
      </c>
      <c r="F111" s="207" t="str">
        <f>IF(AND(D112&lt;0,D111&gt;0),SUM(D76:D111)," ")</f>
        <v xml:space="preserve"> </v>
      </c>
      <c r="N111" s="185"/>
    </row>
    <row r="112" spans="1:17">
      <c r="A112" s="132"/>
      <c r="C112" s="334"/>
      <c r="D112" s="254">
        <f>(B83*C105+B84*C104+B85*C103+B86*C102+B87*C101+B88*C100+B89*C99+B90*C98+B91*C97+B92*C96+B93*C95+B94*C94+B95*C93+B96*C92+B97*C91+B98*C90+B99*C89+B100*C88+B101*C87+B102*C86+B103*C85+B104*C84+B105*C83+B106*C82+B107*C81+B108*C80)*0.015</f>
        <v>-1.1004656090474485E-2</v>
      </c>
      <c r="E112" s="393" t="str">
        <f>IF(F112=" "," ",37*J97)</f>
        <v xml:space="preserve"> </v>
      </c>
      <c r="F112" s="207" t="str">
        <f>IF(AND(D113&lt;0,D112&gt;0),SUM(D76:D112)," ")</f>
        <v xml:space="preserve"> </v>
      </c>
      <c r="N112" s="185"/>
    </row>
    <row r="113" spans="1:19">
      <c r="A113" s="132"/>
      <c r="C113" s="334"/>
      <c r="D113" s="145">
        <f>(B84*C105+B85*C104+B86*C103+B87*C102+B88*C101+B89*C100+B90*C99+B91*C98+B92*C97+B93*C96+B94*C95+B95*C94+B96*C93+B97*C92+B98*C91+B99*C90+B100*C89+B101*C88+B102*C87+B103*C86+B104*C85+B105*C84+B106*C83+B107*C82+B108*C81)*0.015</f>
        <v>-5.6741524222522757E-3</v>
      </c>
      <c r="E113" s="393" t="str">
        <f>IF(F113=" "," ",38*J97)</f>
        <v xml:space="preserve"> </v>
      </c>
      <c r="F113" s="207" t="str">
        <f>IF(AND(D114&lt;0,D113&gt;0),SUM(D76:D113)," ")</f>
        <v xml:space="preserve"> </v>
      </c>
      <c r="N113" s="185"/>
    </row>
    <row r="114" spans="1:19">
      <c r="C114" s="334"/>
      <c r="D114" s="145">
        <f>(B85*C105+B86*C104+B87*C103+B88*C102+B89*C101+B90*C100+B91*C99+B92*C98+B93*C97+B94*C96+B95*C95+B96*C94+B97*C93+B98*C92+B99*C91+B100*C90+B101*C89+B102*C88+B103*C87+B104*C86+B105*C85+B106*C84+B107*C83+B108*C82)*0.015</f>
        <v>-2.0583527664679731E-3</v>
      </c>
      <c r="E114" s="393" t="str">
        <f>IF(F114=" "," ",39*J97)</f>
        <v xml:space="preserve"> </v>
      </c>
      <c r="F114" s="531" t="str">
        <f>IF(AND(D115&lt;0,D114&gt;0),SUM(D76:D114)," ")</f>
        <v xml:space="preserve"> </v>
      </c>
      <c r="N114" s="475"/>
      <c r="P114" s="333"/>
    </row>
    <row r="115" spans="1:19">
      <c r="C115" s="334"/>
      <c r="D115" s="145">
        <f>(B86*C105+B87*C104+B88*C103+B89*C102+B90*C101+B91*C100+B92*C99+B93*C98+B94*C97+B95*C96+B96*C95+B97*C94+B98*C93+B99*C92+B100*C91+B101*C90+B102*C89+B103*C88+B104*C87+B105*C86+B106*C85+B107*C84+B108*C83)*0.015</f>
        <v>-2.0141269130243721E-4</v>
      </c>
      <c r="E115" s="393" t="str">
        <f>IF(F115=" "," ",40*J97)</f>
        <v xml:space="preserve"> </v>
      </c>
      <c r="F115" s="207" t="str">
        <f>IF(AND(D116&lt;0,D115&gt;0),SUM(D76:D115)," ")</f>
        <v xml:space="preserve"> </v>
      </c>
      <c r="G115" s="136"/>
      <c r="M115" s="464"/>
      <c r="N115" s="474"/>
    </row>
    <row r="116" spans="1:19">
      <c r="C116" s="334"/>
      <c r="D116" s="145">
        <f>(B87*C105+B88*C104+B89*C103+B90*C102+B91*C101+B92*C100+B93*C99+B94*C98+B95*C97+B96*C96+B97*C95+B98*C94+B99*C93+B100*C92+B101*C91+B102*C90+B103*C89+B104*C88+B105*C87+B106*C86+B107*C85+B108*C84)*0.015</f>
        <v>0</v>
      </c>
      <c r="E116" s="393" t="str">
        <f>IF(F116=" "," ",41*J97)</f>
        <v xml:space="preserve"> </v>
      </c>
      <c r="F116" s="207" t="str">
        <f>IF(AND(D117&lt;0,D116&gt;0),SUM(D76:D116)," ")</f>
        <v xml:space="preserve"> </v>
      </c>
      <c r="G116" s="136"/>
      <c r="H116" s="443"/>
      <c r="I116" s="443"/>
      <c r="M116" s="464"/>
      <c r="N116" s="473"/>
      <c r="O116" s="94"/>
    </row>
    <row r="117" spans="1:19">
      <c r="C117" s="334"/>
      <c r="D117" s="148">
        <f>(B88*C105+B89*C104+B90*C103+B91*C102+B92*C101+B93*C100+B94*C99+B95*C98+B96*C97+B97*C96+B98*C95+B99*C94+B100*C93+B101*C92+B102*C91+B103*C90+B104*C89+B105*C88+B106*C87+B107*C86+B108*C85)*0.015</f>
        <v>0</v>
      </c>
      <c r="E117" s="393" t="str">
        <f>IF(F117=" "," ",42*J97)</f>
        <v xml:space="preserve"> </v>
      </c>
      <c r="F117" s="531" t="str">
        <f>IF(AND(D118&lt;0,D117&gt;0),SUM(D76:D117)," ")</f>
        <v xml:space="preserve"> </v>
      </c>
      <c r="G117" s="446"/>
      <c r="H117" s="465"/>
      <c r="I117" s="467"/>
      <c r="M117" s="464"/>
      <c r="N117" s="472"/>
      <c r="O117" s="95"/>
      <c r="P117" s="95"/>
      <c r="Q117" s="96"/>
      <c r="R117" s="95"/>
    </row>
    <row r="118" spans="1:19">
      <c r="C118" s="334"/>
      <c r="D118" s="148">
        <f>(B89*C105+B90*C104+B91*C103+B92*C102+B93*C101+B94*C100+B95*C99+B96*C98+B97*C97+B98*C96+B99*C95+B100*C94+B101*C93+B102*C92+B103*C91+B104*C90+B105*C89+B106*C88+B107*C87+B108*C86)*0.015</f>
        <v>0</v>
      </c>
      <c r="E118" s="393" t="str">
        <f>IF(F118=" "," ",43*J97)</f>
        <v xml:space="preserve"> </v>
      </c>
      <c r="F118" s="531" t="str">
        <f>IF(AND(D119&lt;0,D118&gt;0),SUM(D76:D118)," ")</f>
        <v xml:space="preserve"> </v>
      </c>
      <c r="G118" s="454"/>
      <c r="H118" s="465"/>
      <c r="I118" s="468"/>
      <c r="M118" s="464"/>
      <c r="N118" s="472"/>
      <c r="O118" s="95"/>
      <c r="P118" s="95"/>
      <c r="Q118" s="96"/>
      <c r="R118" s="95"/>
    </row>
    <row r="119" spans="1:19">
      <c r="C119" s="334"/>
      <c r="D119" s="148">
        <f>(B90*C105+B91*C104+B92*C103+B93*C102+B94*C101+B95*C100+B96*C99+B97*C98+B98*C97+B99*C96+B100*C95+B101*C94+B102*C93+B103*C92+B104*C91+B105*C90+B106*C89+B107*C88+B108*C87)*0.015</f>
        <v>0</v>
      </c>
      <c r="G119" s="464"/>
      <c r="H119" s="465"/>
      <c r="I119" s="468"/>
      <c r="M119" s="464"/>
      <c r="N119" s="472"/>
      <c r="O119" s="95"/>
      <c r="P119" s="95"/>
      <c r="Q119" s="96"/>
      <c r="R119" s="95"/>
    </row>
    <row r="120" spans="1:19">
      <c r="D120" s="148">
        <f>(B91*C105+B92*C104+B93*C103+B94*C102+B95*C101+B96*C100+B97*C99+B98*C98+B99*C97+B100*C96+B101*C95+B102*C94+B103*C93+B104*C92+B105*C91+B106*C90+B107*C89+B108*C88)*0.015</f>
        <v>0</v>
      </c>
      <c r="G120" s="464"/>
      <c r="H120" s="465"/>
      <c r="I120" s="468"/>
      <c r="M120" s="464"/>
      <c r="N120" s="472"/>
      <c r="O120" s="95"/>
      <c r="P120" s="95"/>
      <c r="Q120" s="96"/>
      <c r="R120" s="95"/>
    </row>
    <row r="121" spans="1:19">
      <c r="D121" s="148">
        <f>(B92*C105+B93*C104+B94*C103+B95*C102+B96*C101+B97*C100+B98*C99+B99*C98+B100*C97+B101*C96+B102*C95+B103*C94+B104*C93+B105*C92+B106*C91+B107*C90+B108*C89)*0.015</f>
        <v>0</v>
      </c>
      <c r="G121" s="464"/>
      <c r="H121" s="465"/>
      <c r="I121" s="468"/>
      <c r="M121" s="464"/>
      <c r="N121" s="472"/>
      <c r="O121" s="95"/>
      <c r="P121" s="95"/>
      <c r="Q121" s="96"/>
      <c r="R121" s="95"/>
    </row>
    <row r="122" spans="1:19">
      <c r="D122" s="148">
        <f>(B93*C105+B94*C104+B95*C103+B96*C102+B97*C101+B98*C100+B99*C99+B100*C98+B101*C97+B102*C96+B103*C95+B104*C94+B105*C93+B106*C92+B107*C91+B108*C90)*0.015</f>
        <v>0</v>
      </c>
      <c r="G122" s="464"/>
      <c r="H122" s="465"/>
      <c r="I122" s="468"/>
      <c r="M122" s="464"/>
      <c r="N122" s="472"/>
      <c r="O122" s="95"/>
      <c r="P122" s="95"/>
      <c r="Q122" s="96"/>
      <c r="R122" s="95"/>
    </row>
    <row r="123" spans="1:19">
      <c r="D123" s="148">
        <f>(B94*C105+B95*C104+B96*C103+B97*C102+B98*C101+B99*C100+B100*C99+B101*C98+B102*C97+B103*C96+B104*C95+B105*C94+B106*C93+B107*C92+B108*C91)*0.015</f>
        <v>0</v>
      </c>
      <c r="G123" s="464"/>
      <c r="H123" s="465"/>
      <c r="I123" s="468"/>
      <c r="M123" s="464"/>
      <c r="N123" s="472"/>
      <c r="O123" s="95"/>
      <c r="P123" s="95"/>
      <c r="Q123" s="96"/>
      <c r="R123" s="95"/>
    </row>
    <row r="124" spans="1:19">
      <c r="D124" s="148">
        <f>(B95*C105+B96*C104+B97*C103+B98*C102+B99*C101+B100*C100+B101*C99+B102*C98+B103*C97+B104*C96+B105*C95+B106*C94+B107*C93+B108*C92)*0.015</f>
        <v>0</v>
      </c>
      <c r="G124" s="464"/>
      <c r="H124" s="465"/>
      <c r="I124" s="468"/>
      <c r="M124" s="464"/>
      <c r="N124" s="472"/>
      <c r="O124" s="95"/>
      <c r="P124" s="95"/>
      <c r="Q124" s="96"/>
      <c r="R124" s="95"/>
      <c r="S124" s="435"/>
    </row>
    <row r="125" spans="1:19">
      <c r="D125" s="148">
        <f>(B96*C105+B97*C104+B98*C103+B99*C102+B100*C101+B101*C100+B102*C99+B103*C98+B104*C97+B105*C96+B106*C95+B107*C94+B108*C93)*0.015</f>
        <v>0</v>
      </c>
      <c r="G125" s="464"/>
      <c r="H125" s="465"/>
      <c r="I125" s="468"/>
      <c r="M125" s="464"/>
      <c r="N125" s="481"/>
      <c r="O125" s="95"/>
      <c r="P125" s="95"/>
      <c r="Q125" s="96"/>
      <c r="R125" s="95"/>
      <c r="S125" s="435"/>
    </row>
    <row r="126" spans="1:19">
      <c r="D126" s="148">
        <f>(B97*C105+B98*C104+B99*C103+B100*C102+B101*C101+B102*C100+B103*C99+B104*C98+B105*C97+B106*C96+B107*C95+B108*C94)*0.015</f>
        <v>0</v>
      </c>
      <c r="G126" s="464"/>
      <c r="H126" s="465"/>
      <c r="I126" s="468"/>
      <c r="M126" s="464"/>
      <c r="N126" s="481"/>
      <c r="O126" s="95"/>
      <c r="P126" s="95"/>
      <c r="Q126" s="96"/>
      <c r="R126" s="95"/>
      <c r="S126" s="483" t="s">
        <v>329</v>
      </c>
    </row>
    <row r="127" spans="1:19">
      <c r="D127" s="148">
        <f>(B98*C105+B99*C104+B100*C103+B101*C102+B102*C101+B103*C100+B104*C99+B105*C98+B106*C97+B107*C96+B108*C95)*0.015</f>
        <v>0</v>
      </c>
      <c r="G127" s="464"/>
      <c r="H127" s="465"/>
      <c r="I127" s="468"/>
      <c r="M127" s="464"/>
      <c r="N127" s="472"/>
      <c r="O127" s="95"/>
      <c r="P127" s="95"/>
      <c r="Q127" s="96"/>
      <c r="R127" s="95"/>
      <c r="S127" s="483" t="s">
        <v>336</v>
      </c>
    </row>
    <row r="128" spans="1:19">
      <c r="D128" s="148">
        <f>(B99*C105+B100*C104+B101*C103+B102*C102+B103*C101+B104*C100+B105*C99+B106*C98+B107*C97+B108*C96)*0.015</f>
        <v>0</v>
      </c>
      <c r="F128" s="513" t="s">
        <v>172</v>
      </c>
      <c r="G128" s="464"/>
      <c r="H128" s="465"/>
      <c r="I128" s="468"/>
      <c r="M128" s="464"/>
      <c r="N128" s="482" t="s">
        <v>107</v>
      </c>
      <c r="O128" s="95"/>
      <c r="P128" s="95"/>
      <c r="Q128" s="96"/>
      <c r="R128" s="95"/>
      <c r="S128" s="483" t="s">
        <v>335</v>
      </c>
    </row>
    <row r="129" spans="1:26">
      <c r="B129" s="464"/>
      <c r="C129" s="471"/>
      <c r="D129" s="254">
        <f>(B100*C105+B101*C104+B102*C103+B103*C102+B104*C101+B105*C100+B106*C99+B107*C98+B108*C97)*0.015</f>
        <v>0</v>
      </c>
      <c r="F129" s="514" t="s">
        <v>173</v>
      </c>
      <c r="G129" s="464"/>
      <c r="H129" s="465"/>
      <c r="I129" s="468"/>
      <c r="N129" s="482" t="s">
        <v>115</v>
      </c>
      <c r="O129" s="95"/>
      <c r="P129" s="95"/>
      <c r="Q129" s="96"/>
      <c r="R129" s="95"/>
      <c r="S129" s="433">
        <f>ROUND((F148-F147)/J97,0)-1</f>
        <v>27</v>
      </c>
    </row>
    <row r="130" spans="1:26">
      <c r="B130" s="464"/>
      <c r="C130" s="471"/>
      <c r="D130" s="254"/>
      <c r="F130" s="514" t="s">
        <v>124</v>
      </c>
      <c r="G130" s="464"/>
      <c r="H130" s="466"/>
      <c r="I130" s="469"/>
      <c r="N130" s="353" t="s">
        <v>221</v>
      </c>
      <c r="O130" s="95"/>
      <c r="P130" s="95"/>
      <c r="Q130" s="96"/>
      <c r="R130" s="95"/>
    </row>
    <row r="131" spans="1:26">
      <c r="C131" s="34"/>
      <c r="D131" s="136"/>
      <c r="F131" s="515" t="s">
        <v>127</v>
      </c>
      <c r="H131" s="101" t="s">
        <v>149</v>
      </c>
      <c r="I131" s="102" t="s">
        <v>419</v>
      </c>
      <c r="N131" s="98" t="s">
        <v>40</v>
      </c>
      <c r="O131" s="95"/>
      <c r="P131" s="95"/>
      <c r="Q131" s="96"/>
      <c r="R131" s="95"/>
      <c r="Y131" s="517">
        <f>(SUM(Y133:Y170))/Z131</f>
        <v>-3.7939617670300817E-2</v>
      </c>
      <c r="Z131" s="510">
        <f>SUM(Z133:Z169)</f>
        <v>5</v>
      </c>
    </row>
    <row r="132" spans="1:26">
      <c r="B132" s="546" t="s">
        <v>34</v>
      </c>
      <c r="D132" s="492" t="s">
        <v>125</v>
      </c>
      <c r="E132" s="451"/>
      <c r="F132" s="443"/>
      <c r="H132" s="103" t="s">
        <v>238</v>
      </c>
      <c r="I132" s="104" t="s">
        <v>345</v>
      </c>
      <c r="N132" s="391">
        <f>((F135*2)/B3)-G158</f>
        <v>1.1397837295082818</v>
      </c>
      <c r="O132" s="390" t="s">
        <v>453</v>
      </c>
      <c r="P132" s="592" t="s">
        <v>454</v>
      </c>
      <c r="Q132" s="591"/>
      <c r="R132" s="592" t="s">
        <v>27</v>
      </c>
      <c r="U132" s="593" t="s">
        <v>482</v>
      </c>
      <c r="V132" s="315" t="s">
        <v>57</v>
      </c>
      <c r="X132" s="516" t="s">
        <v>33</v>
      </c>
      <c r="Y132" s="589" t="s">
        <v>481</v>
      </c>
      <c r="Z132" s="518" t="s">
        <v>128</v>
      </c>
    </row>
    <row r="133" spans="1:26">
      <c r="A133" s="87" t="s">
        <v>387</v>
      </c>
      <c r="B133" s="491">
        <f>D6</f>
        <v>-2.3111035762534999E-3</v>
      </c>
      <c r="C133" s="87" t="s">
        <v>478</v>
      </c>
      <c r="D133" s="493">
        <f>B133</f>
        <v>-2.3111035762534999E-3</v>
      </c>
      <c r="E133" s="345"/>
      <c r="F133" s="395"/>
      <c r="N133" s="307">
        <f>N132+J97</f>
        <v>1.1956890916838745</v>
      </c>
      <c r="O133" s="388">
        <f>IF(F143&gt;((N133-N132)/2+N132),IF(F143&lt;((N134-N133)/2+N133),0.6,0),0)</f>
        <v>0</v>
      </c>
      <c r="P133" s="52">
        <f>IF(F144&gt;((N133-N133)/2+N132),IF(F144&lt;((N134-N133)/2+N133),0.3,0),0)</f>
        <v>0</v>
      </c>
      <c r="R133" s="521">
        <v>0</v>
      </c>
      <c r="U133" s="327">
        <v>0</v>
      </c>
      <c r="V133" s="388">
        <f t="shared" ref="V133:V167" si="4">IF(U133=0,0,1)</f>
        <v>0</v>
      </c>
      <c r="X133" s="512">
        <f t="shared" ref="X133:X153" si="5">IF(O133&gt;0,D133,0)</f>
        <v>0</v>
      </c>
      <c r="Y133" s="386">
        <f>IF(D133&lt;0,D133,0)</f>
        <v>-2.3111035762534999E-3</v>
      </c>
      <c r="Z133" s="52">
        <f t="shared" ref="Z133:Z161" si="6">IF(Y133=0,0,1)</f>
        <v>1</v>
      </c>
    </row>
    <row r="134" spans="1:26">
      <c r="A134" s="26">
        <v>10</v>
      </c>
      <c r="B134" s="139">
        <f t="shared" ref="B134:B165" si="7">D7</f>
        <v>-1.3547517391849465E-2</v>
      </c>
      <c r="C134">
        <v>0</v>
      </c>
      <c r="D134" s="142">
        <f t="shared" ref="D134:D174" si="8">SUM(B134:C134)</f>
        <v>-1.3547517391849465E-2</v>
      </c>
      <c r="E134" s="5" t="s">
        <v>444</v>
      </c>
      <c r="F134" s="50">
        <v>10000</v>
      </c>
      <c r="N134" s="307">
        <f>N133+J97</f>
        <v>1.2515944538594672</v>
      </c>
      <c r="O134" s="388">
        <f>IF(F143&gt;((N134-N133)/2+N133),IF(F143&lt;((N135-N134)/2+N134),0.6,0),0)</f>
        <v>0</v>
      </c>
      <c r="P134" s="52">
        <f>IF(F144&gt;((N134-N133)/2+N133),IF(F144&lt;((N135-N134)/2+N134),0.3,0),0)</f>
        <v>0</v>
      </c>
      <c r="R134" s="522">
        <v>0</v>
      </c>
      <c r="U134" s="254">
        <f t="shared" ref="U134:U165" si="9">IF(U133=0,IF(O134=0.6,D134,0),IF(P134=0.6,0,D134))</f>
        <v>0</v>
      </c>
      <c r="V134" s="388">
        <f t="shared" si="4"/>
        <v>0</v>
      </c>
      <c r="X134" s="512">
        <f t="shared" si="5"/>
        <v>0</v>
      </c>
      <c r="Y134" s="386">
        <f t="shared" ref="Y134:Y151" si="10">IF(O134=0.6,0,IF(Y133=0,0,D134))</f>
        <v>-1.3547517391849465E-2</v>
      </c>
      <c r="Z134" s="52">
        <f t="shared" si="6"/>
        <v>1</v>
      </c>
    </row>
    <row r="135" spans="1:26">
      <c r="A135" s="26">
        <v>20</v>
      </c>
      <c r="B135" s="140">
        <f t="shared" si="7"/>
        <v>-3.2433919979110569E-2</v>
      </c>
      <c r="C135">
        <v>0</v>
      </c>
      <c r="D135" s="140">
        <f>SUM(B135:C135)</f>
        <v>-3.2433919979110569E-2</v>
      </c>
      <c r="E135" s="5" t="s">
        <v>290</v>
      </c>
      <c r="F135" s="50">
        <v>360</v>
      </c>
      <c r="N135" s="307">
        <f>N134+J97</f>
        <v>1.3074998160350599</v>
      </c>
      <c r="O135" s="388">
        <f>IF(F143&gt;((N135-N134)/2+N134),IF(F143&lt;((N136-N135)/2+N135),0.6,0),0)</f>
        <v>0</v>
      </c>
      <c r="P135" s="52">
        <f>IF(F144&gt;((N135-N134)/2+N134),IF(F144&lt;((N136-N135)/2+N135),0.3,0),0)</f>
        <v>0</v>
      </c>
      <c r="R135" s="522">
        <v>0</v>
      </c>
      <c r="U135" s="254">
        <f t="shared" si="9"/>
        <v>0</v>
      </c>
      <c r="V135" s="388">
        <f t="shared" si="4"/>
        <v>0</v>
      </c>
      <c r="X135" s="512">
        <f t="shared" si="5"/>
        <v>0</v>
      </c>
      <c r="Y135" s="386">
        <f t="shared" si="10"/>
        <v>-3.2433919979110569E-2</v>
      </c>
      <c r="Z135" s="52">
        <f t="shared" si="6"/>
        <v>1</v>
      </c>
    </row>
    <row r="136" spans="1:26">
      <c r="A136" s="26">
        <v>30</v>
      </c>
      <c r="B136" s="140">
        <f t="shared" si="7"/>
        <v>-5.6920346062916002E-2</v>
      </c>
      <c r="C136">
        <v>0</v>
      </c>
      <c r="D136" s="140">
        <f t="shared" si="8"/>
        <v>-5.6920346062916002E-2</v>
      </c>
      <c r="E136" s="363" t="s">
        <v>400</v>
      </c>
      <c r="F136" s="80">
        <f>F5</f>
        <v>220</v>
      </c>
      <c r="N136" s="307">
        <f>N135+J97</f>
        <v>1.3634051782106527</v>
      </c>
      <c r="O136" s="388">
        <f>IF(F143&gt;((N136-N135)/2+N135),IF(F143&lt;((N137-N136)/2+N136),0.6,0),0)</f>
        <v>0</v>
      </c>
      <c r="P136" s="52">
        <f>IF(F144&gt;((N136-N135)/2+N135),IF(F144&lt;((N137-N136)/2+N136),0.3,0),0)</f>
        <v>0</v>
      </c>
      <c r="R136" s="522">
        <v>0</v>
      </c>
      <c r="U136" s="254">
        <f t="shared" si="9"/>
        <v>0</v>
      </c>
      <c r="V136" s="388">
        <f t="shared" si="4"/>
        <v>0</v>
      </c>
      <c r="X136" s="512">
        <f t="shared" si="5"/>
        <v>0</v>
      </c>
      <c r="Y136" s="386">
        <f t="shared" si="10"/>
        <v>-5.6920346062916002E-2</v>
      </c>
      <c r="Z136" s="52">
        <f t="shared" si="6"/>
        <v>1</v>
      </c>
    </row>
    <row r="137" spans="1:26">
      <c r="A137" s="26">
        <v>40</v>
      </c>
      <c r="B137" s="140">
        <f t="shared" si="7"/>
        <v>-8.448520134137455E-2</v>
      </c>
      <c r="C137">
        <v>0</v>
      </c>
      <c r="D137" s="140">
        <f t="shared" si="8"/>
        <v>-8.448520134137455E-2</v>
      </c>
      <c r="E137" s="5" t="s">
        <v>401</v>
      </c>
      <c r="F137" s="50">
        <v>200</v>
      </c>
      <c r="N137" s="307">
        <f>N136+J97</f>
        <v>1.4193105403862454</v>
      </c>
      <c r="O137" s="388">
        <f>IF(F143&gt;((N137-N136)/2+N136),IF(F143&lt;((N138-N137)/2+N137),0.6,0),0)</f>
        <v>0</v>
      </c>
      <c r="P137" s="52">
        <f>IF(F144&gt;((N137-N136)/2+N136),IF(F144&lt;((N138-N137)/2+N137),0.3,0),0)</f>
        <v>0</v>
      </c>
      <c r="R137" s="522">
        <v>0</v>
      </c>
      <c r="U137" s="254">
        <f t="shared" si="9"/>
        <v>0</v>
      </c>
      <c r="V137" s="388">
        <f t="shared" si="4"/>
        <v>0</v>
      </c>
      <c r="X137" s="512">
        <f t="shared" si="5"/>
        <v>0</v>
      </c>
      <c r="Y137" s="386">
        <f t="shared" si="10"/>
        <v>-8.448520134137455E-2</v>
      </c>
      <c r="Z137" s="52">
        <f t="shared" si="6"/>
        <v>1</v>
      </c>
    </row>
    <row r="138" spans="1:26">
      <c r="A138" s="26">
        <v>50</v>
      </c>
      <c r="B138" s="140">
        <f t="shared" si="7"/>
        <v>-0.11242049656226467</v>
      </c>
      <c r="C138">
        <v>0</v>
      </c>
      <c r="D138" s="140">
        <f t="shared" si="8"/>
        <v>-0.11242049656226467</v>
      </c>
      <c r="E138" s="363" t="s">
        <v>402</v>
      </c>
      <c r="F138" s="80">
        <f>F7</f>
        <v>180</v>
      </c>
      <c r="N138" s="307">
        <f>N137+J97</f>
        <v>1.4752159025618381</v>
      </c>
      <c r="O138" s="388">
        <f>IF(F143&gt;((N138-N137)/2+N137),IF(F143&lt;((N139-N138)/2+N138),0.6,0),0)</f>
        <v>0.6</v>
      </c>
      <c r="P138" s="52">
        <f>IF(F144&gt;((N138-N137)/2+N137),IF(F144&lt;((N139-N138)/2+N138),0.3,0),0)</f>
        <v>0</v>
      </c>
      <c r="R138" s="522">
        <v>0</v>
      </c>
      <c r="U138" s="254">
        <f t="shared" si="9"/>
        <v>-0.11242049656226467</v>
      </c>
      <c r="V138" s="388">
        <f t="shared" si="4"/>
        <v>1</v>
      </c>
      <c r="X138" s="512">
        <f t="shared" si="5"/>
        <v>-0.11242049656226467</v>
      </c>
      <c r="Y138" s="386">
        <f t="shared" si="10"/>
        <v>0</v>
      </c>
      <c r="Z138" s="52">
        <f t="shared" si="6"/>
        <v>0</v>
      </c>
    </row>
    <row r="139" spans="1:26">
      <c r="A139" s="26">
        <v>60</v>
      </c>
      <c r="B139" s="140">
        <f t="shared" si="7"/>
        <v>-0.13798505890956048</v>
      </c>
      <c r="C139">
        <v>0</v>
      </c>
      <c r="D139" s="140">
        <f t="shared" si="8"/>
        <v>-0.13798505890956048</v>
      </c>
      <c r="E139" s="363" t="s">
        <v>403</v>
      </c>
      <c r="F139" s="80">
        <f>F8</f>
        <v>120</v>
      </c>
      <c r="N139" s="307">
        <f>N138+J97</f>
        <v>1.5311212647374308</v>
      </c>
      <c r="O139" s="388">
        <f>IF(F143&gt;((N139-N138)/2+N138),IF(F143&lt;((N140-N139)/2+N139),0.6,0),0)</f>
        <v>0</v>
      </c>
      <c r="P139" s="52">
        <f>IF(F144&gt;((N139-N138)/2+N138),IF(F144&lt;((N140-N139)/2+N139),0.3,0),0)</f>
        <v>0</v>
      </c>
      <c r="R139" s="522">
        <v>0</v>
      </c>
      <c r="U139" s="254">
        <f t="shared" si="9"/>
        <v>-0.13798505890956048</v>
      </c>
      <c r="V139" s="388">
        <f t="shared" si="4"/>
        <v>1</v>
      </c>
      <c r="X139" s="512">
        <f t="shared" si="5"/>
        <v>0</v>
      </c>
      <c r="Y139" s="386">
        <f t="shared" si="10"/>
        <v>0</v>
      </c>
      <c r="Z139" s="52">
        <f t="shared" si="6"/>
        <v>0</v>
      </c>
    </row>
    <row r="140" spans="1:26">
      <c r="A140" s="26">
        <v>70</v>
      </c>
      <c r="B140" s="140">
        <f t="shared" si="7"/>
        <v>-0.15865008296222446</v>
      </c>
      <c r="C140">
        <v>0</v>
      </c>
      <c r="D140" s="140">
        <f t="shared" si="8"/>
        <v>-0.15865008296222446</v>
      </c>
      <c r="E140" s="385"/>
      <c r="F140" s="194" t="s">
        <v>344</v>
      </c>
      <c r="N140" s="307">
        <f>N139+J97</f>
        <v>1.5870266269130235</v>
      </c>
      <c r="O140" s="388">
        <f>IF(F143&gt;((N140-N139)/2+N139),IF(F143&lt;((N141-N140)/2+N140),0.6,0),0)</f>
        <v>0</v>
      </c>
      <c r="P140" s="52">
        <f>IF(F144&gt;((N140-N139)/2+N139),IF(F144&lt;((N141-N140)/2+N140),0.3,0),0)</f>
        <v>0</v>
      </c>
      <c r="R140" s="522">
        <v>0</v>
      </c>
      <c r="U140" s="254">
        <f t="shared" si="9"/>
        <v>-0.15865008296222446</v>
      </c>
      <c r="V140" s="388">
        <f t="shared" si="4"/>
        <v>1</v>
      </c>
      <c r="X140" s="512">
        <f t="shared" si="5"/>
        <v>0</v>
      </c>
      <c r="Y140" s="386">
        <f t="shared" si="10"/>
        <v>0</v>
      </c>
      <c r="Z140" s="52">
        <f t="shared" si="6"/>
        <v>0</v>
      </c>
    </row>
    <row r="141" spans="1:26">
      <c r="A141" s="26">
        <v>80</v>
      </c>
      <c r="B141" s="140">
        <f t="shared" si="7"/>
        <v>-0.17232565803757854</v>
      </c>
      <c r="C141">
        <v>0</v>
      </c>
      <c r="D141" s="140">
        <f t="shared" si="8"/>
        <v>-0.17232565803757854</v>
      </c>
      <c r="E141" s="363" t="s">
        <v>280</v>
      </c>
      <c r="F141" s="52">
        <v>0</v>
      </c>
      <c r="N141" s="307">
        <f>N140+J97</f>
        <v>1.6429319890886163</v>
      </c>
      <c r="O141" s="388">
        <f>IF(F143&gt;((N141-N140)/2+N140),IF(F143&lt;((N142-N141)/2+N141),0.6,0),0)</f>
        <v>0</v>
      </c>
      <c r="P141" s="52">
        <f>IF(F144&gt;((N141-N140)/2+N140),IF(F144&lt;((N142-N141)/2+N141),0.6,0),0)</f>
        <v>0</v>
      </c>
      <c r="Q141">
        <v>0</v>
      </c>
      <c r="R141" s="522">
        <v>0</v>
      </c>
      <c r="U141" s="254">
        <f t="shared" si="9"/>
        <v>-0.17232565803757854</v>
      </c>
      <c r="V141" s="388">
        <f t="shared" si="4"/>
        <v>1</v>
      </c>
      <c r="W141" s="490" t="s">
        <v>56</v>
      </c>
      <c r="X141" s="512">
        <f t="shared" si="5"/>
        <v>0</v>
      </c>
      <c r="Y141" s="386">
        <f t="shared" si="10"/>
        <v>0</v>
      </c>
      <c r="Z141" s="52">
        <f t="shared" si="6"/>
        <v>0</v>
      </c>
    </row>
    <row r="142" spans="1:26">
      <c r="A142" s="26">
        <v>90</v>
      </c>
      <c r="B142" s="140">
        <f t="shared" si="7"/>
        <v>-0.17754797987271381</v>
      </c>
      <c r="C142">
        <v>0</v>
      </c>
      <c r="D142" s="140">
        <f t="shared" si="8"/>
        <v>-0.17754797987271381</v>
      </c>
      <c r="E142" s="363" t="s">
        <v>281</v>
      </c>
      <c r="F142" s="254">
        <f>((((F138-F139)/2)/360)*(60/F134))*1000</f>
        <v>0.5</v>
      </c>
      <c r="N142" s="307">
        <f>N141+J97</f>
        <v>1.698837351264209</v>
      </c>
      <c r="O142" s="388">
        <f>IF(F143&gt;((N142-N141)/2+N141),IF(F143&lt;((N143-N142)/2+N142),0.6,0),0)</f>
        <v>0</v>
      </c>
      <c r="P142" s="387">
        <f>IF(F144&gt;((N142-N141)/2+N141),IF(F144&lt;((N143-N142)/2+N142),0.6,0),0)</f>
        <v>0</v>
      </c>
      <c r="Q142" s="520">
        <f>IF(P142=0.6,J158,IF(Q141=G158,G158,0))</f>
        <v>0</v>
      </c>
      <c r="R142" s="522">
        <v>0</v>
      </c>
      <c r="S142" s="590" t="s">
        <v>479</v>
      </c>
      <c r="U142" s="254">
        <f t="shared" si="9"/>
        <v>-0.17754797987271381</v>
      </c>
      <c r="V142" s="388">
        <f t="shared" si="4"/>
        <v>1</v>
      </c>
      <c r="W142" s="392">
        <f>IF(SUM(P133:P142)=0.6,IF(SUM(R133:R141)=0,IF(D142&gt;0,1,0),0),0)</f>
        <v>0</v>
      </c>
      <c r="X142" s="512">
        <f t="shared" si="5"/>
        <v>0</v>
      </c>
      <c r="Y142" s="386">
        <f t="shared" si="10"/>
        <v>0</v>
      </c>
      <c r="Z142" s="52">
        <f t="shared" si="6"/>
        <v>0</v>
      </c>
    </row>
    <row r="143" spans="1:26">
      <c r="A143" s="26">
        <v>100</v>
      </c>
      <c r="B143" s="140">
        <f t="shared" si="7"/>
        <v>-0.17529127904794792</v>
      </c>
      <c r="C143">
        <v>0</v>
      </c>
      <c r="D143" s="140">
        <f t="shared" si="8"/>
        <v>-0.17529127904794792</v>
      </c>
      <c r="E143" s="363" t="s">
        <v>282</v>
      </c>
      <c r="F143" s="254">
        <f>(((F138/2)/360)*(60/F134))*1000</f>
        <v>1.5</v>
      </c>
      <c r="N143" s="307">
        <f>N142+J97</f>
        <v>1.7547427134398017</v>
      </c>
      <c r="O143" s="388">
        <f>IF(F143&gt;((N143-N142)/2+N142),IF(F143&lt;((N144-N143)/2+N143),0.6,0),0)</f>
        <v>0</v>
      </c>
      <c r="P143" s="387">
        <f>IF(F144&gt;((N143-N142)/2+N142),IF(F144&lt;((N144-N143)/2+N143),0.6,0),0)</f>
        <v>0</v>
      </c>
      <c r="Q143" s="520">
        <f>IF(P143=0.6,J158,IF(Q142=J158,J158,0))</f>
        <v>0</v>
      </c>
      <c r="R143" s="522">
        <v>0</v>
      </c>
      <c r="S143" s="213">
        <f t="shared" ref="S143:S148" si="11">IF((P143=0.6),D143,0)</f>
        <v>0</v>
      </c>
      <c r="U143" s="254">
        <f t="shared" si="9"/>
        <v>-0.17529127904794792</v>
      </c>
      <c r="V143" s="388">
        <f t="shared" si="4"/>
        <v>1</v>
      </c>
      <c r="W143" s="392">
        <f>IF(SUM(P133:P143)=0.6,IF(SUM(R133:R142)=0,IF(D143&gt;0,1,0),0),0)</f>
        <v>0</v>
      </c>
      <c r="X143" s="512">
        <f t="shared" si="5"/>
        <v>0</v>
      </c>
      <c r="Y143" s="386">
        <f t="shared" si="10"/>
        <v>0</v>
      </c>
      <c r="Z143" s="52">
        <f t="shared" si="6"/>
        <v>0</v>
      </c>
    </row>
    <row r="144" spans="1:26">
      <c r="A144" s="26">
        <v>110</v>
      </c>
      <c r="B144" s="140">
        <f t="shared" si="7"/>
        <v>-0.17549053024066652</v>
      </c>
      <c r="C144">
        <v>0</v>
      </c>
      <c r="D144" s="140">
        <f t="shared" si="8"/>
        <v>-0.17549053024066652</v>
      </c>
      <c r="E144" s="363" t="s">
        <v>385</v>
      </c>
      <c r="F144" s="254">
        <f>((((F138/2)+(F139/2))/360)*(60/F134))*1000</f>
        <v>2.5</v>
      </c>
      <c r="N144" s="307">
        <f>N143+J97</f>
        <v>1.8106480756153944</v>
      </c>
      <c r="O144" s="388">
        <f>IF(F143&gt;((N144-N143)/2+N143),IF(F143&lt;((N145-N144)/2+N144),0.6,0),0)</f>
        <v>0</v>
      </c>
      <c r="P144" s="387">
        <f>IF(F144&gt;((N144-N143)/2+N143),IF(F144&lt;((N145-N144)/2+N144),0.6,0),0)</f>
        <v>0</v>
      </c>
      <c r="Q144" s="520">
        <f>IF(P144=0.6,J158,IF(Q143=J158,J158,0))</f>
        <v>0</v>
      </c>
      <c r="R144" s="522">
        <v>0</v>
      </c>
      <c r="S144" s="213">
        <f t="shared" si="11"/>
        <v>0</v>
      </c>
      <c r="U144" s="254">
        <f t="shared" si="9"/>
        <v>-0.17549053024066652</v>
      </c>
      <c r="V144" s="388">
        <f t="shared" si="4"/>
        <v>1</v>
      </c>
      <c r="W144" s="392">
        <f>IF(SUM(P133:P144)=0.6,IF(SUM(R133:R143)=0,IF(D144&gt;0,1,0),0),0)</f>
        <v>0</v>
      </c>
      <c r="X144" s="512">
        <f t="shared" si="5"/>
        <v>0</v>
      </c>
      <c r="Y144" s="386">
        <f t="shared" si="10"/>
        <v>0</v>
      </c>
      <c r="Z144" s="52">
        <f t="shared" si="6"/>
        <v>0</v>
      </c>
    </row>
    <row r="145" spans="1:26">
      <c r="A145" s="26">
        <v>120</v>
      </c>
      <c r="B145" s="140">
        <f t="shared" si="7"/>
        <v>-0.18162525053347717</v>
      </c>
      <c r="C145" s="155">
        <v>0</v>
      </c>
      <c r="D145" s="140">
        <f t="shared" si="8"/>
        <v>-0.18162525053347717</v>
      </c>
      <c r="E145" s="363" t="s">
        <v>143</v>
      </c>
      <c r="F145" s="254">
        <f>F143*2</f>
        <v>3</v>
      </c>
      <c r="N145" s="307">
        <f>N144+J97</f>
        <v>1.8665534377909871</v>
      </c>
      <c r="O145" s="388">
        <f>IF(F143&gt;((N145-N144)/2+N144),IF(F143&lt;((N146-N145)/2+N145),0.6,0),0)</f>
        <v>0</v>
      </c>
      <c r="P145" s="387">
        <f>IF(F144&gt;((N145-N144)/2+N144),IF(F144&lt;((N146-N145)/2+N145),0.6,0),0)</f>
        <v>0</v>
      </c>
      <c r="Q145" s="520">
        <f>IF(P145=0.6,J158,IF(Q144=J158,J158,0))</f>
        <v>0</v>
      </c>
      <c r="R145" s="523">
        <v>0</v>
      </c>
      <c r="S145" s="213">
        <f t="shared" si="11"/>
        <v>0</v>
      </c>
      <c r="U145" s="254">
        <f t="shared" si="9"/>
        <v>-0.18162525053347717</v>
      </c>
      <c r="V145" s="388">
        <f t="shared" si="4"/>
        <v>1</v>
      </c>
      <c r="W145" s="392">
        <f>IF(SUM(P133:P145)=0.6,IF(SUM(R133:R144)=0,IF(D145&gt;0,1,0),0),0)</f>
        <v>0</v>
      </c>
      <c r="X145" s="512">
        <f t="shared" si="5"/>
        <v>0</v>
      </c>
      <c r="Y145" s="386">
        <f t="shared" si="10"/>
        <v>0</v>
      </c>
      <c r="Z145" s="52">
        <f t="shared" si="6"/>
        <v>0</v>
      </c>
    </row>
    <row r="146" spans="1:26">
      <c r="A146" s="26">
        <v>130</v>
      </c>
      <c r="B146" s="140">
        <f t="shared" si="7"/>
        <v>-0.1836575425609398</v>
      </c>
      <c r="C146" s="254">
        <f>IF(S129=13,D75,0)</f>
        <v>0</v>
      </c>
      <c r="D146" s="140">
        <f t="shared" si="8"/>
        <v>-0.1836575425609398</v>
      </c>
      <c r="E146" s="363" t="s">
        <v>92</v>
      </c>
      <c r="F146" s="254">
        <f>F145-F144</f>
        <v>0.5</v>
      </c>
      <c r="N146" s="307">
        <f>N145+J97</f>
        <v>1.9224587999665799</v>
      </c>
      <c r="O146" s="388">
        <f>IF(F143&gt;((N146-N145)/2+N145),IF(F143&lt;((N147-N146)/2+N146),0.6,0),0)</f>
        <v>0</v>
      </c>
      <c r="P146" s="387">
        <f>IF(F144&gt;((N146-N145)/2+N145),IF(F144&lt;((N147-N146)/2+N146),0.6,0),0)</f>
        <v>0</v>
      </c>
      <c r="Q146" s="386">
        <f>IF(P146=0.6,J158,IF(Q145=J158,J158,0))</f>
        <v>0</v>
      </c>
      <c r="R146" s="52">
        <f>IF(F145-I18&gt;((N146-N145)/2+N145),IF(F145-I18&lt;((N147-N146)/2+N146),0.6,0),0)</f>
        <v>0</v>
      </c>
      <c r="S146" s="254">
        <f t="shared" si="11"/>
        <v>0</v>
      </c>
      <c r="U146" s="254">
        <f t="shared" si="9"/>
        <v>-0.1836575425609398</v>
      </c>
      <c r="V146" s="388">
        <f t="shared" si="4"/>
        <v>1</v>
      </c>
      <c r="W146" s="392">
        <f>IF(SUM(P133:P146)=0.6,IF(SUM(R133:R145)=0,IF(D146&gt;0,1,0),0),0)</f>
        <v>0</v>
      </c>
      <c r="X146" s="512">
        <f t="shared" si="5"/>
        <v>0</v>
      </c>
      <c r="Y146" s="386">
        <f t="shared" si="10"/>
        <v>0</v>
      </c>
      <c r="Z146" s="52">
        <f t="shared" si="6"/>
        <v>0</v>
      </c>
    </row>
    <row r="147" spans="1:26">
      <c r="A147" s="26">
        <v>140</v>
      </c>
      <c r="B147" s="140">
        <f t="shared" si="7"/>
        <v>-0.18924645194211134</v>
      </c>
      <c r="C147" s="140">
        <f>IF(S129=13,D76,IF(S129=14,D75,0))</f>
        <v>0</v>
      </c>
      <c r="D147" s="140">
        <f t="shared" si="8"/>
        <v>-0.18924645194211134</v>
      </c>
      <c r="E147" s="364" t="s">
        <v>376</v>
      </c>
      <c r="F147" s="254">
        <f>((F135*2)/SQRT(1.35*291*(A3+273)))</f>
        <v>1.1956890916838745</v>
      </c>
      <c r="N147" s="307">
        <f>N146+J97</f>
        <v>1.9783641621421726</v>
      </c>
      <c r="O147" s="388">
        <f>IF(F143&gt;((N147-N146)/2+N146),IF(F143&lt;((N148-N147)/2+N147),0.6,0),0)</f>
        <v>0</v>
      </c>
      <c r="P147" s="387">
        <f>IF(F144&gt;((N147-N146)/2+N146),IF(F144&lt;((N148-N147)/2+N147),0.6,0),0)</f>
        <v>0</v>
      </c>
      <c r="Q147" s="386">
        <f>IF(P147=0.6,J158,IF(Q146=J158,J158,0))</f>
        <v>0</v>
      </c>
      <c r="R147" s="52">
        <f>IF(F145-I18&gt;((N147-N146)/2+N146),IF(F145-I18&lt;((N148-N147)/2+N147),0.6,0),0)</f>
        <v>0</v>
      </c>
      <c r="S147" s="254">
        <f t="shared" si="11"/>
        <v>0</v>
      </c>
      <c r="U147" s="254">
        <f t="shared" si="9"/>
        <v>-0.18924645194211134</v>
      </c>
      <c r="V147" s="388">
        <f>IF(U147=0,0,1)</f>
        <v>1</v>
      </c>
      <c r="W147" s="392">
        <f>IF(SUM(P133:P147)=0.6,IF(SUM(R133:R146)=0,IF(D147&gt;0,1,0),0),0)</f>
        <v>0</v>
      </c>
      <c r="X147" s="512">
        <f t="shared" si="5"/>
        <v>0</v>
      </c>
      <c r="Y147" s="386">
        <f t="shared" si="10"/>
        <v>0</v>
      </c>
      <c r="Z147" s="52">
        <f t="shared" si="6"/>
        <v>0</v>
      </c>
    </row>
    <row r="148" spans="1:26">
      <c r="A148" s="26">
        <v>150</v>
      </c>
      <c r="B148" s="140">
        <f t="shared" si="7"/>
        <v>-0.19425446104457031</v>
      </c>
      <c r="C148" s="140">
        <f>IF(S129=13,D77,IF(S129=14,D76,IF(S129=15,D75,0)))</f>
        <v>0</v>
      </c>
      <c r="D148" s="140">
        <f t="shared" si="8"/>
        <v>-0.19425446104457031</v>
      </c>
      <c r="E148" s="365" t="s">
        <v>327</v>
      </c>
      <c r="F148" s="409">
        <f>2*((F135/(SQRT(1.35*291*(A3+273))))+F136/(SQRT(1.35*291*(A3*0.79+273)))+F137/(SQRT(1.35*291*(A3*0.65+273))))</f>
        <v>2.7525008734671648</v>
      </c>
      <c r="N148" s="307">
        <f>N147+J97</f>
        <v>2.0342695243177653</v>
      </c>
      <c r="O148" s="388">
        <f>IF(F143&gt;((N148-N147)/2+N147),IF(F143&lt;((N149-N148)/2+N148),0.6,0),0)</f>
        <v>0</v>
      </c>
      <c r="P148" s="387">
        <f>IF(F144&gt;((N148-N147)/2+N147),IF(F144&lt;((N149-N148)/2+N148),0.6,0),0)</f>
        <v>0</v>
      </c>
      <c r="Q148" s="386">
        <f>IF(P148=0.6,J158,IF(Q147=J158,J158,0))</f>
        <v>0</v>
      </c>
      <c r="R148" s="52">
        <f>IF(F145-I18&gt;((N148-N147)/2+N147),IF(F145-I18&lt;((N149-N148)/2+N148),0.6,0),0)</f>
        <v>0</v>
      </c>
      <c r="S148" s="254">
        <f t="shared" si="11"/>
        <v>0</v>
      </c>
      <c r="U148" s="254">
        <f t="shared" si="9"/>
        <v>-0.19425446104457031</v>
      </c>
      <c r="V148" s="388">
        <f>IF(U148=0,0,1)</f>
        <v>1</v>
      </c>
      <c r="W148" s="392">
        <f>IF(SUM(P133:P148)=0.6,IF(SUM(R133:R147)=0,IF(D148&gt;0,1,0),0),0)</f>
        <v>0</v>
      </c>
      <c r="X148" s="512">
        <f t="shared" si="5"/>
        <v>0</v>
      </c>
      <c r="Y148" s="386">
        <f t="shared" si="10"/>
        <v>0</v>
      </c>
      <c r="Z148" s="52">
        <f t="shared" si="6"/>
        <v>0</v>
      </c>
    </row>
    <row r="149" spans="1:26">
      <c r="A149" s="26">
        <v>160</v>
      </c>
      <c r="B149" s="140">
        <f t="shared" si="7"/>
        <v>-0.19758847489865486</v>
      </c>
      <c r="C149" s="140">
        <f>IF(S129=13,D78,IF(S129=14,D77,IF(S129=15,D76,IF(S129=16,D75,0))))</f>
        <v>0</v>
      </c>
      <c r="D149" s="140">
        <f t="shared" si="8"/>
        <v>-0.19758847489865486</v>
      </c>
      <c r="E149" s="373" t="s">
        <v>328</v>
      </c>
      <c r="F149" s="632"/>
      <c r="N149" s="307">
        <f>N148+J97</f>
        <v>2.090174886493358</v>
      </c>
      <c r="O149" s="388">
        <f>IF(F143&gt;((N149-N148)/2+N148),IF(F143&lt;((N150-N149)/2+N149),0.6,0),0)</f>
        <v>0</v>
      </c>
      <c r="P149" s="387">
        <f>IF(F144&gt;((N149-N148)/2+N148),IF(F144&lt;((N150-N149)/2+N149),0.6,0),0)</f>
        <v>0</v>
      </c>
      <c r="Q149" s="386">
        <f>IF(P149=0.6,J158,IF(Q148=J158,J158,0))</f>
        <v>0</v>
      </c>
      <c r="R149" s="52">
        <f>IF(F145-I18&gt;((N149-N148)/2+N148),IF(F145-I18&lt;((N150-N149)/2+N149),0.6,0),0)</f>
        <v>0</v>
      </c>
      <c r="S149" s="254">
        <f t="shared" ref="S149:S183" si="12">IF((P149=0.6),D149,0)</f>
        <v>0</v>
      </c>
      <c r="U149" s="254">
        <f t="shared" si="9"/>
        <v>-0.19758847489865486</v>
      </c>
      <c r="V149" s="388">
        <f t="shared" si="4"/>
        <v>1</v>
      </c>
      <c r="W149" s="392">
        <f>IF(SUM(P133:P149)=0.6,IF(SUM(R133:R148)=0,IF(D149&gt;0,1,0),0),0)</f>
        <v>0</v>
      </c>
      <c r="X149" s="512">
        <f t="shared" si="5"/>
        <v>0</v>
      </c>
      <c r="Y149" s="386">
        <f t="shared" si="10"/>
        <v>0</v>
      </c>
      <c r="Z149" s="52">
        <f t="shared" si="6"/>
        <v>0</v>
      </c>
    </row>
    <row r="150" spans="1:26">
      <c r="A150" s="26">
        <v>170</v>
      </c>
      <c r="B150" s="140">
        <f t="shared" si="7"/>
        <v>-0.19833536734468638</v>
      </c>
      <c r="C150" s="140">
        <f>IF(S129=13,D79,IF(S129=14,D78,IF(S129=15,D77,IF(S129=16,D76,IF(S129=17,D75,0)))))</f>
        <v>0</v>
      </c>
      <c r="D150" s="140">
        <f t="shared" si="8"/>
        <v>-0.19833536734468638</v>
      </c>
      <c r="E150" s="588" t="s">
        <v>492</v>
      </c>
      <c r="F150" s="552"/>
      <c r="N150" s="307">
        <f>N149+J97</f>
        <v>2.1460802486689508</v>
      </c>
      <c r="O150" s="388">
        <f>IF(F143&gt;((N150-N149)/2+N149),IF(F143&lt;((N151-N150)/2+N150),0.6,0),0)</f>
        <v>0</v>
      </c>
      <c r="P150" s="387">
        <f>IF(F144&gt;((N150-N149)/2+N149),IF(F144&lt;((N151-N150)/2+N150),0.6,0),0)</f>
        <v>0</v>
      </c>
      <c r="Q150" s="386">
        <f>IF(P150=0.6,G158,IF(Q149=G158,G158,0))</f>
        <v>0</v>
      </c>
      <c r="R150" s="52">
        <f>IF(F145-I18&gt;((N150-N149)/2+N149),IF(F145-I18&lt;((N151-N150)/2+N150),0.6,0),0)</f>
        <v>0</v>
      </c>
      <c r="S150" s="254">
        <f>IF((P150=0.6),D150,0)</f>
        <v>0</v>
      </c>
      <c r="T150" s="590" t="s">
        <v>480</v>
      </c>
      <c r="U150" s="254">
        <f t="shared" si="9"/>
        <v>-0.19833536734468638</v>
      </c>
      <c r="V150" s="388">
        <f t="shared" si="4"/>
        <v>1</v>
      </c>
      <c r="W150" s="392">
        <f>IF(SUM(P133:P150)=0.6,IF(SUM(R133:R149)=0,IF(D150&gt;0,1,0),0),0)</f>
        <v>0</v>
      </c>
      <c r="X150" s="512">
        <f t="shared" si="5"/>
        <v>0</v>
      </c>
      <c r="Y150" s="386">
        <f t="shared" si="10"/>
        <v>0</v>
      </c>
      <c r="Z150" s="52">
        <f t="shared" si="6"/>
        <v>0</v>
      </c>
    </row>
    <row r="151" spans="1:26">
      <c r="A151" s="26">
        <v>180</v>
      </c>
      <c r="B151" s="140">
        <f t="shared" si="7"/>
        <v>-0.19758393307173183</v>
      </c>
      <c r="C151" s="140">
        <f>IF(S129=13,D80,IF(S129=14,D79,IF(S129=15,D78,IF(S129=16,D77,IF(S129=17,D76,IF(S129=18,D75,0))))))</f>
        <v>0</v>
      </c>
      <c r="D151" s="140">
        <f t="shared" si="8"/>
        <v>-0.19758393307173183</v>
      </c>
      <c r="E151" s="633" t="s">
        <v>493</v>
      </c>
      <c r="F151" s="626"/>
      <c r="N151" s="307">
        <f>N150+J97</f>
        <v>2.2019856108445435</v>
      </c>
      <c r="O151" s="388">
        <f>IF(F143&gt;((N151-N150)/2+N150),IF(F143&lt;((N152-N151)/2+N151),0.6,0),0)</f>
        <v>0</v>
      </c>
      <c r="P151" s="387">
        <f>IF(F144&gt;((N151-N150)/2+N150),IF(F144&lt;((N152-N151)/2+N151),0.6,0),0)</f>
        <v>0</v>
      </c>
      <c r="Q151" s="386">
        <f>IF(P151=0.6,J158,IF(Q150=J158,J158,0))</f>
        <v>0</v>
      </c>
      <c r="R151" s="392">
        <f>IF(F145-I18&gt;((N151-N150)/2+N150),IF(F145-I18&lt;((N152-N151)/2+N151),0.6,0),0)</f>
        <v>0</v>
      </c>
      <c r="S151" s="192">
        <f t="shared" si="12"/>
        <v>0</v>
      </c>
      <c r="T151" s="192">
        <f>IF((R151=0.6),D151,0)</f>
        <v>0</v>
      </c>
      <c r="U151" s="254">
        <f t="shared" si="9"/>
        <v>-0.19758393307173183</v>
      </c>
      <c r="V151" s="388">
        <f t="shared" si="4"/>
        <v>1</v>
      </c>
      <c r="W151" s="392">
        <f>IF(SUM(P133:P151)=0.6,IF(SUM(R133:R150)=0,IF(D151&gt;0,1,0),0),0)</f>
        <v>0</v>
      </c>
      <c r="X151" s="512">
        <f>IF(O151&gt;0,D151,0)</f>
        <v>0</v>
      </c>
      <c r="Y151" s="549">
        <f t="shared" si="10"/>
        <v>0</v>
      </c>
      <c r="Z151" s="52">
        <f t="shared" si="6"/>
        <v>0</v>
      </c>
    </row>
    <row r="152" spans="1:26">
      <c r="A152" s="26">
        <v>190</v>
      </c>
      <c r="B152" s="140">
        <f t="shared" si="7"/>
        <v>-0.19973086441101337</v>
      </c>
      <c r="C152" s="140">
        <f>IF(S129=13,D81,IF(S129=14,D80,IF(S129=15,D79,IF(S129=16,D78,IF(S129=17,D77,IF(S129=18,D76,IF(S129=19,D75,0)))))))</f>
        <v>0</v>
      </c>
      <c r="D152" s="140">
        <f t="shared" si="8"/>
        <v>-0.19973086441101337</v>
      </c>
      <c r="E152" s="633" t="s">
        <v>494</v>
      </c>
      <c r="F152" s="629"/>
      <c r="N152" s="307">
        <f>N151+J97</f>
        <v>2.2578909730201362</v>
      </c>
      <c r="O152" s="388">
        <f>IF(F143&gt;((N152-N151)/2+N151),IF(F143&lt;((N153-N152)/2+N152),0.6,0),0)</f>
        <v>0</v>
      </c>
      <c r="P152" s="387">
        <f>IF(F144&gt;((N152-N151)/2+N151),IF(F144&lt;((N153-N152)/2+N152),0.6,0),0)</f>
        <v>0</v>
      </c>
      <c r="Q152" s="386">
        <f>IF(P152=0.6,J158,IF(Q151=J158,J158,0))</f>
        <v>0</v>
      </c>
      <c r="R152" s="392">
        <f>IF(F145-I18&gt;((N152-N151)/2+N151),IF(F145-I18&lt;((N153-N152)/2+N152),0.6,0),0)</f>
        <v>0</v>
      </c>
      <c r="S152" s="192">
        <f t="shared" si="12"/>
        <v>0</v>
      </c>
      <c r="T152" s="192">
        <f>IF((R152=0.6),D152,0)</f>
        <v>0</v>
      </c>
      <c r="U152" s="254">
        <f t="shared" si="9"/>
        <v>-0.19973086441101337</v>
      </c>
      <c r="V152" s="388">
        <f t="shared" si="4"/>
        <v>1</v>
      </c>
      <c r="W152" s="392">
        <f>IF(SUM(P133:P152)=0.6,IF(SUM(R133:R151)=0,IF(D152&gt;0,IF(P152=0.6,0,1),0),0),0)</f>
        <v>0</v>
      </c>
      <c r="X152" s="512">
        <f t="shared" si="5"/>
        <v>0</v>
      </c>
      <c r="Y152" s="549">
        <f t="shared" ref="Y152:Y158" si="13">IF(O152=0.6,0,IF(Y151=0,0,D152))</f>
        <v>0</v>
      </c>
      <c r="Z152" s="52">
        <f t="shared" si="6"/>
        <v>0</v>
      </c>
    </row>
    <row r="153" spans="1:26">
      <c r="A153" s="26">
        <v>200</v>
      </c>
      <c r="B153" s="141">
        <f t="shared" si="7"/>
        <v>-0.20349184718153276</v>
      </c>
      <c r="C153" s="140">
        <f>IF(S129=13,D82,IF(S129=14,D81,IF(S129=15,D80,IF(S129=16,D79,IF(S129=17,D78,IF(S129=18,D77,IF(S129=19,D76,IF(S129=20,D75,0))))))))</f>
        <v>0</v>
      </c>
      <c r="D153" s="140">
        <f t="shared" si="8"/>
        <v>-0.20349184718153276</v>
      </c>
      <c r="E153" s="633"/>
      <c r="F153" s="628"/>
      <c r="N153" s="307">
        <f>N152+J97</f>
        <v>2.3137963351957289</v>
      </c>
      <c r="O153" s="388">
        <f>IF(F143&gt;((N153-N152)/2+N152),IF(F143&lt;((N154-N153)/2+N153),0.6,0),0)</f>
        <v>0</v>
      </c>
      <c r="P153" s="387">
        <f>IF(F144&gt;((N153-N152)/2+N152),IF(F144&lt;((N154-N153)/2+N153),0.6,0),0)</f>
        <v>0</v>
      </c>
      <c r="Q153" s="386">
        <f>IF(P153=0.6,J158,IF(Q152=J158,J158,0))</f>
        <v>0</v>
      </c>
      <c r="R153" s="392">
        <f>IF(F145-I18&gt;((N153-N152)/2+N152),IF(F145-I18&lt;((N154-N153)/2+N153),0.6,0),0)</f>
        <v>0</v>
      </c>
      <c r="S153" s="192">
        <f t="shared" si="12"/>
        <v>0</v>
      </c>
      <c r="T153" s="192">
        <f>IF((R153=0.6),D153,0)</f>
        <v>0</v>
      </c>
      <c r="U153" s="254">
        <f t="shared" si="9"/>
        <v>-0.20349184718153276</v>
      </c>
      <c r="V153" s="388">
        <f t="shared" si="4"/>
        <v>1</v>
      </c>
      <c r="W153" s="392">
        <f>IF(SUM(P133:P153)=0.6,IF(SUM(R133:R152)=0,IF(D153&gt;0,IF(P153=0.6,0,1),0),0),0)</f>
        <v>0</v>
      </c>
      <c r="X153" s="512">
        <f t="shared" si="5"/>
        <v>0</v>
      </c>
      <c r="Y153" s="550">
        <f t="shared" si="13"/>
        <v>0</v>
      </c>
      <c r="Z153" s="551">
        <f t="shared" si="6"/>
        <v>0</v>
      </c>
    </row>
    <row r="154" spans="1:26">
      <c r="A154" s="26">
        <v>210</v>
      </c>
      <c r="B154" s="141">
        <f t="shared" si="7"/>
        <v>-0.21029667736895347</v>
      </c>
      <c r="C154" s="140">
        <f>IF(S129=13,D83,IF(S129=14,D82,IF(S129=15,D81,IF(S129=16,D80,IF(S129=17,D79,IF(S129=18,D78,IF(S129=19,D77,IF(S129=20,D76,IF(S129=21,D75,0)))))))))</f>
        <v>0</v>
      </c>
      <c r="D154" s="140">
        <f t="shared" si="8"/>
        <v>-0.21029667736895347</v>
      </c>
      <c r="E154" s="634"/>
      <c r="F154" s="624"/>
      <c r="N154" s="307">
        <f>N153+J97</f>
        <v>2.3697016973713216</v>
      </c>
      <c r="O154" s="388">
        <f>IF(F143&gt;((N154-N153)/2+N153),IF(F143&lt;((N155-N154)/2+N154),0.6,0),0)</f>
        <v>0</v>
      </c>
      <c r="P154" s="387">
        <f>IF(F144&gt;((N154-N153)/2+N153),IF(F144&lt;((N155-N154)/2+N154),0.6,0),0)</f>
        <v>0</v>
      </c>
      <c r="Q154" s="386">
        <f>IF(P154=0.6,J158,IF(Q153=J158,J158,0))</f>
        <v>0</v>
      </c>
      <c r="R154" s="392">
        <f>IF(F145-I18&gt;((N154-N153)/2+N153),IF(F145-I18&lt;((N155-N154)/2+N154),0.6,0),0)</f>
        <v>0</v>
      </c>
      <c r="S154" s="192">
        <f t="shared" si="12"/>
        <v>0</v>
      </c>
      <c r="T154" s="192">
        <f>IF((R154=0.6),D154,0)</f>
        <v>0</v>
      </c>
      <c r="U154" s="254">
        <f t="shared" si="9"/>
        <v>-0.21029667736895347</v>
      </c>
      <c r="V154" s="388">
        <f t="shared" si="4"/>
        <v>1</v>
      </c>
      <c r="W154" s="392">
        <f>IF(SUM(P133:P154)=0.6,IF(SUM(R133:R153)=0,IF(D154&gt;0,IF(P154=0.6,0,1),0),0),0)</f>
        <v>0</v>
      </c>
      <c r="X154" s="512">
        <f t="shared" ref="X154:X158" si="14">IF(O154&gt;0,D154,0)</f>
        <v>0</v>
      </c>
      <c r="Y154" s="550">
        <f t="shared" si="13"/>
        <v>0</v>
      </c>
      <c r="Z154" s="551">
        <f t="shared" si="6"/>
        <v>0</v>
      </c>
    </row>
    <row r="155" spans="1:26">
      <c r="A155" s="26">
        <v>220</v>
      </c>
      <c r="B155" s="140">
        <f t="shared" si="7"/>
        <v>-0.21431492985166717</v>
      </c>
      <c r="C155" s="140">
        <f>IF(S129=13,D84,IF(S129=14,D83,IF(S129=15,D82,IF(S129=16,D81,IF(S129=17,D80,IF(S129=18,D79,IF(S129=19,D78,IF(S129=20,D77,IF(S129=21,D76,IF(S129=22,D75,0))))))))))</f>
        <v>0</v>
      </c>
      <c r="D155" s="140">
        <f t="shared" si="8"/>
        <v>-0.21431492985166717</v>
      </c>
      <c r="E155" s="634"/>
      <c r="F155" s="627"/>
      <c r="G155" s="76"/>
      <c r="H155" s="76"/>
      <c r="I155" s="443"/>
      <c r="J155" s="55"/>
      <c r="K155" s="55"/>
      <c r="L155" s="54"/>
      <c r="M155" s="470"/>
      <c r="N155" s="307">
        <f>N154+J97</f>
        <v>2.4256070595469144</v>
      </c>
      <c r="O155" s="388">
        <f>IF(F143&gt;((N155-N154)/2+N154),IF(F143&lt;((N156-N155)/2+N155),0.6,0),0)</f>
        <v>0</v>
      </c>
      <c r="P155" s="387">
        <f>IF(F144&gt;((N155-N154)/2+N154),IF(F144&lt;((N156-N155)/2+N155),0.6,0),0)</f>
        <v>0</v>
      </c>
      <c r="Q155" s="386">
        <f>IF(P155=0.6,J158,IF(Q154=J158,J158,0))</f>
        <v>0</v>
      </c>
      <c r="R155" s="392">
        <f>IF(F145-I18&gt;((N155-N154)/2+N154),IF(F145-I18&lt;((N156-N155)/2+N155),0.6,0),0)</f>
        <v>0</v>
      </c>
      <c r="S155" s="192">
        <f t="shared" si="12"/>
        <v>0</v>
      </c>
      <c r="T155" s="192">
        <f>IF((R155=0.6),D155,0)</f>
        <v>0</v>
      </c>
      <c r="U155" s="254">
        <f t="shared" si="9"/>
        <v>-0.21431492985166717</v>
      </c>
      <c r="V155" s="388">
        <f t="shared" si="4"/>
        <v>1</v>
      </c>
      <c r="W155" s="392">
        <f>IF(SUM(P133:P155)=0.6,IF(SUM(R133:R154)=0,IF(D155&gt;0,IF(P155=0.6,0,1),0),0),0)</f>
        <v>0</v>
      </c>
      <c r="X155" s="512">
        <f t="shared" si="14"/>
        <v>0</v>
      </c>
      <c r="Y155" s="550">
        <f t="shared" si="13"/>
        <v>0</v>
      </c>
      <c r="Z155" s="551">
        <f t="shared" si="6"/>
        <v>0</v>
      </c>
    </row>
    <row r="156" spans="1:26">
      <c r="A156" s="26">
        <v>230</v>
      </c>
      <c r="B156" s="140">
        <f t="shared" si="7"/>
        <v>-0.20491593263745952</v>
      </c>
      <c r="C156" s="140">
        <f>IF(S129=13,D85,IF(S129=14,D84,IF(S129=15,D83,IF(S129=16,D82,IF(S129=17,D81,IF(S129=18,D80,IF(S129=19,D79,IF(S129=20,D78,IF(S129=21,D77,IF(S129=22,D76,IF(S129=23,D75,0)))))))))))</f>
        <v>0</v>
      </c>
      <c r="D156" s="143">
        <f t="shared" si="8"/>
        <v>-0.20491593263745952</v>
      </c>
      <c r="E156" s="634"/>
      <c r="F156" s="626"/>
      <c r="G156" s="623" t="s">
        <v>116</v>
      </c>
      <c r="H156" s="297" t="s">
        <v>431</v>
      </c>
      <c r="I156" s="484"/>
      <c r="J156" s="507"/>
      <c r="K156" s="508"/>
      <c r="L156" s="486"/>
      <c r="M156" s="476"/>
      <c r="N156" s="307">
        <f>N155+J97</f>
        <v>2.4815124217225071</v>
      </c>
      <c r="O156" s="388">
        <f>IF(F143&gt;((N156-N155)/2+N155),IF(F143&lt;((N157-N156)/2+N156),0.6,0),0)</f>
        <v>0</v>
      </c>
      <c r="P156" s="387">
        <f>IF(F144&gt;((N156-N155)/2+N155),IF(F144&lt;((N157-N156)/2+N156),0.6,0),0)</f>
        <v>0.6</v>
      </c>
      <c r="Q156" s="386">
        <f>IF(P156=0.6,J158,IF(Q155=J158,J158,0))</f>
        <v>0</v>
      </c>
      <c r="R156" s="392">
        <f>IF(F145-I18&gt;((N156-N155)/2+N155),IF(F145-I18&lt;((N157-N156)/2+N156),0.6,0),0)</f>
        <v>0</v>
      </c>
      <c r="S156" s="192">
        <f t="shared" si="12"/>
        <v>-0.20491593263745952</v>
      </c>
      <c r="T156" s="192">
        <f t="shared" ref="T156:T196" si="15">IF((R156=0.6),D156,0)</f>
        <v>0</v>
      </c>
      <c r="U156" s="254">
        <f t="shared" si="9"/>
        <v>0</v>
      </c>
      <c r="V156" s="388">
        <f t="shared" si="4"/>
        <v>0</v>
      </c>
      <c r="W156" s="392">
        <f>IF(SUM(P133:P156)=0.6,IF(SUM(R133:R155)=0,IF(D156&gt;0,IF(P156=0.6,0,1),0),0),0)</f>
        <v>0</v>
      </c>
      <c r="X156" s="512">
        <f t="shared" si="14"/>
        <v>0</v>
      </c>
      <c r="Y156" s="550">
        <f t="shared" si="13"/>
        <v>0</v>
      </c>
      <c r="Z156" s="551">
        <f t="shared" si="6"/>
        <v>0</v>
      </c>
    </row>
    <row r="157" spans="1:26">
      <c r="A157" s="26">
        <v>240</v>
      </c>
      <c r="B157" s="140">
        <f t="shared" si="7"/>
        <v>-0.18263185710555846</v>
      </c>
      <c r="C157" s="140">
        <f>IF(S129=13,D86,IF(S129=14,D85,IF(S129=15,D84,IF(S129=16,D83,IF(S129=17,D82,IF(S129=18,D81,IF(S129=19,D80,IF(S129=20,D79,IF(S129=21,D78,IF(S129=22,D77,IF(S129=23,D76,IF(S129=24,D75,0))))))))))))</f>
        <v>0</v>
      </c>
      <c r="D157" s="143">
        <f t="shared" si="8"/>
        <v>-0.18263185710555846</v>
      </c>
      <c r="E157" s="634"/>
      <c r="F157" s="626"/>
      <c r="G157" s="97" t="s">
        <v>432</v>
      </c>
      <c r="H157" s="81" t="s">
        <v>252</v>
      </c>
      <c r="I157" s="485"/>
      <c r="J157" s="510" t="s">
        <v>123</v>
      </c>
      <c r="K157" s="511">
        <f>F134</f>
        <v>10000</v>
      </c>
      <c r="L157" s="486"/>
      <c r="M157" s="477"/>
      <c r="N157" s="307">
        <f>N156+J97</f>
        <v>2.5374177838980998</v>
      </c>
      <c r="O157" s="388">
        <f>IF(F143&gt;((N157-N156)/2+N156),IF(F143&lt;((N158-N157)/2+N157),0.6,0),0)</f>
        <v>0</v>
      </c>
      <c r="P157" s="387">
        <f>IF(F144&gt;((N157-N156)/2+N156),IF(F144&lt;((N158-N157)/2+N157),0.6,0),0)</f>
        <v>0</v>
      </c>
      <c r="Q157" s="386">
        <f>IF(P157=0.6,J158,IF(Q156=J158,J158,0))</f>
        <v>0</v>
      </c>
      <c r="R157" s="392">
        <f>IF(F145-I18&gt;((N157-N156)/2+N156),IF(F145-I18&lt;((N158-N157)/2+N157),0.6,0),0)</f>
        <v>0</v>
      </c>
      <c r="S157" s="192">
        <f t="shared" si="12"/>
        <v>0</v>
      </c>
      <c r="T157" s="192">
        <f t="shared" si="15"/>
        <v>0</v>
      </c>
      <c r="U157" s="254">
        <f t="shared" si="9"/>
        <v>0</v>
      </c>
      <c r="V157" s="388">
        <f t="shared" si="4"/>
        <v>0</v>
      </c>
      <c r="W157" s="392">
        <f>IF(SUM(P133:P157)=0.6,IF(SUM(R133:R156)=0,IF(D157&gt;0,IF(P157=0.6,0,1),0),0),0)</f>
        <v>0</v>
      </c>
      <c r="X157" s="512">
        <f t="shared" si="14"/>
        <v>0</v>
      </c>
      <c r="Y157" s="550">
        <f t="shared" si="13"/>
        <v>0</v>
      </c>
      <c r="Z157" s="551">
        <f t="shared" si="6"/>
        <v>0</v>
      </c>
    </row>
    <row r="158" spans="1:26">
      <c r="A158" s="26">
        <v>250</v>
      </c>
      <c r="B158" s="140">
        <f t="shared" si="7"/>
        <v>-0.14920308775028693</v>
      </c>
      <c r="C158" s="140">
        <f>IF(S129=13,D87,IF(S129=14,D86,IF(S129=15,D85,IF(S129=16,D84,IF(S129=17,D83,IF(S129=18,D82,IF(S129=19,D81,IF(S129=20,D80,IF(S129=21,D79,IF(S129=22,D78,IF(S129=23,D77,IF(S129=24,D76,IF(S129=25,D75,0)))))))))))))</f>
        <v>0</v>
      </c>
      <c r="D158" s="143">
        <f t="shared" si="8"/>
        <v>-0.14920308775028693</v>
      </c>
      <c r="E158" s="634"/>
      <c r="F158" s="626"/>
      <c r="G158" s="331">
        <f>J97</f>
        <v>5.5905362175592818E-2</v>
      </c>
      <c r="H158" s="88" t="s">
        <v>271</v>
      </c>
      <c r="J158" s="509"/>
      <c r="K158" s="487"/>
      <c r="L158" s="464"/>
      <c r="M158" s="477"/>
      <c r="N158" s="307">
        <f>N157+J97</f>
        <v>2.5933231460736925</v>
      </c>
      <c r="O158" s="388">
        <f>IF(F143&gt;((N158-N157)/2+N157),IF(F143&lt;((N159-N158)/2+N158),0.6,0),0)</f>
        <v>0</v>
      </c>
      <c r="P158" s="387">
        <f>IF(F144&gt;((N158-N157)/2+N157),IF(F144&lt;((N159-N158)/2+N158),0.6,0),0)</f>
        <v>0</v>
      </c>
      <c r="Q158" s="386">
        <f>IF(P158=0.6,J158,IF(Q157=J158,J158,0))</f>
        <v>0</v>
      </c>
      <c r="R158" s="392">
        <f>IF(F145-I18&gt;((N158-N157)/2+N157),IF(F145-I18&lt;((N159-N158)/2+N158),0.6,0),0)</f>
        <v>0</v>
      </c>
      <c r="S158" s="192">
        <f t="shared" si="12"/>
        <v>0</v>
      </c>
      <c r="T158" s="192">
        <f t="shared" si="15"/>
        <v>0</v>
      </c>
      <c r="U158" s="254">
        <f t="shared" si="9"/>
        <v>0</v>
      </c>
      <c r="V158" s="388">
        <f t="shared" si="4"/>
        <v>0</v>
      </c>
      <c r="W158" s="392">
        <f>IF(SUM(P133:P158)=0.6,IF(SUM(R133:R157)=0,IF(D158&gt;0,IF(P158=0.6,0,1),0),0),0)</f>
        <v>0</v>
      </c>
      <c r="X158" s="512">
        <f t="shared" si="14"/>
        <v>0</v>
      </c>
      <c r="Y158" s="550">
        <f t="shared" si="13"/>
        <v>0</v>
      </c>
      <c r="Z158" s="551">
        <f t="shared" si="6"/>
        <v>0</v>
      </c>
    </row>
    <row r="159" spans="1:26" ht="18">
      <c r="A159" s="26">
        <v>260</v>
      </c>
      <c r="B159" s="140">
        <f t="shared" si="7"/>
        <v>-0.10736196111424132</v>
      </c>
      <c r="C159" s="140">
        <f>IF(S129=13,D88,IF(S129=14,D87,IF(S129=15,D86,IF(S129=16,D85,IF(S129=17,D84,IF(S129=18,D83,IF(S129=19,D82,IF(S129=20,D81,IF(S129=21,D80,IF(S129=22,D79,IF(S129=23,D78,IF(S129=24,D77,IF(S129=25,D76,IF(S129=26,D75,0))))))))))))))</f>
        <v>0</v>
      </c>
      <c r="D159" s="143">
        <f t="shared" si="8"/>
        <v>-0.10736196111424132</v>
      </c>
      <c r="E159" s="575" t="s">
        <v>428</v>
      </c>
      <c r="F159" s="576" t="s">
        <v>427</v>
      </c>
      <c r="G159" s="89" t="s">
        <v>298</v>
      </c>
      <c r="H159" s="90">
        <f>(F144-F143)/G158+0.03</f>
        <v>17.917371820597566</v>
      </c>
      <c r="I159" s="296"/>
      <c r="J159" s="97" t="s">
        <v>450</v>
      </c>
      <c r="K159" s="499">
        <f>F146/G158</f>
        <v>8.9436859102987825</v>
      </c>
      <c r="L159" s="464"/>
      <c r="M159" s="478"/>
      <c r="N159" s="307">
        <f>N158+J97</f>
        <v>2.6492285082492852</v>
      </c>
      <c r="O159" s="388">
        <f>IF(F143&gt;((N159-N158)/2+N158),IF(F143&lt;((N160-N159)/2+N159),0.6,0),0)</f>
        <v>0</v>
      </c>
      <c r="P159" s="387">
        <f>IF(F144&gt;((N159-N158)/2+N158),IF(F144&lt;((N160-N159)/2+N159),0.6,0),0)</f>
        <v>0</v>
      </c>
      <c r="Q159" s="386">
        <f>IF(P159=0.6,J158,IF(Q158=J158,J158,0))</f>
        <v>0</v>
      </c>
      <c r="R159" s="392">
        <f>IF(F145-I18&gt;((N159-N158)/2+N158),IF(F145-I18&lt;((N160-N159)/2+N159),0.6,0),0)</f>
        <v>0</v>
      </c>
      <c r="S159" s="192">
        <f t="shared" si="12"/>
        <v>0</v>
      </c>
      <c r="T159" s="192">
        <f t="shared" si="15"/>
        <v>0</v>
      </c>
      <c r="U159" s="254">
        <f t="shared" si="9"/>
        <v>0</v>
      </c>
      <c r="V159" s="388">
        <f t="shared" si="4"/>
        <v>0</v>
      </c>
      <c r="W159" s="392">
        <f>IF(SUM(P133:P159)=0.6,IF(SUM(R133:R158)=0,IF(D159&gt;0,IF(P159=0.6,0,1),0),0),0)</f>
        <v>0</v>
      </c>
      <c r="X159" s="512">
        <f t="shared" ref="X159:X170" si="16">IF(O159&gt;0,D159,0)</f>
        <v>0</v>
      </c>
      <c r="Y159" s="550">
        <f t="shared" ref="Y159:Y170" si="17">IF(O159=0.6,0,IF(Y158=0,0,D159))</f>
        <v>0</v>
      </c>
      <c r="Z159" s="551">
        <f t="shared" si="6"/>
        <v>0</v>
      </c>
    </row>
    <row r="160" spans="1:26">
      <c r="A160" s="109">
        <v>270</v>
      </c>
      <c r="B160" s="140">
        <f t="shared" si="7"/>
        <v>-6.0594382571549893E-2</v>
      </c>
      <c r="C160" s="140">
        <f>IF(S129=13,D89,IF(S129=14,D88,IF(S129=15,D87,IF(S129=16,D86,IF(S129=17,D85,IF(S129=18,D84,IF(S129=19,D83,IF(S129=20,D82,IF(S129=21,D81,IF(S129=22,D80,IF(S129=23,D79,IF(S129=24,D78,IF(S129=25,D77,IF(S129=26,D76,IF(S129=27,D75,0)))))))))))))))</f>
        <v>0</v>
      </c>
      <c r="D160" s="143">
        <f t="shared" si="8"/>
        <v>-6.0594382571549893E-2</v>
      </c>
      <c r="E160" s="559"/>
      <c r="F160" s="574" t="s">
        <v>288</v>
      </c>
      <c r="G160" s="298" t="s">
        <v>451</v>
      </c>
      <c r="H160" s="299" t="s">
        <v>452</v>
      </c>
      <c r="J160" s="500" t="s">
        <v>451</v>
      </c>
      <c r="K160" s="88" t="s">
        <v>452</v>
      </c>
      <c r="L160" s="488"/>
      <c r="N160" s="307">
        <f>N159+J97</f>
        <v>2.705133870424878</v>
      </c>
      <c r="O160" s="388">
        <f>IF(F143&gt;((N160-N159)/2+N159),IF(F143&lt;((N161-N160)/2+N160),0.6,0),0)</f>
        <v>0</v>
      </c>
      <c r="P160" s="387">
        <f>IF(F144&gt;((N160-N159)/2+N159),IF(F144&lt;((N161-N160)/2+N160),0.6,0),0)</f>
        <v>0</v>
      </c>
      <c r="Q160" s="386">
        <f>IF(P160=0.6,J158,IF(Q159=J158,J158,0))</f>
        <v>0</v>
      </c>
      <c r="R160" s="392">
        <f>IF(F145-I18&gt;((N160-N159)/2+N159),IF(F145-I18&lt;((N161-N160)/2+N160),0.6,0),0)</f>
        <v>0</v>
      </c>
      <c r="S160" s="192">
        <f t="shared" si="12"/>
        <v>0</v>
      </c>
      <c r="T160" s="192">
        <f t="shared" si="15"/>
        <v>0</v>
      </c>
      <c r="U160" s="254">
        <f t="shared" si="9"/>
        <v>0</v>
      </c>
      <c r="V160" s="388">
        <f t="shared" si="4"/>
        <v>0</v>
      </c>
      <c r="W160" s="392">
        <f>IF(SUM(P133:P160)=0.6,IF(SUM(R133:R159)=0,IF(D160&gt;0,IF(P160=0.6,0,1),0),0),0)</f>
        <v>0</v>
      </c>
      <c r="X160" s="512">
        <f t="shared" si="16"/>
        <v>0</v>
      </c>
      <c r="Y160" s="608">
        <f t="shared" si="17"/>
        <v>0</v>
      </c>
      <c r="Z160" s="610">
        <f t="shared" si="6"/>
        <v>0</v>
      </c>
    </row>
    <row r="161" spans="1:26" ht="16">
      <c r="A161" s="109">
        <v>280</v>
      </c>
      <c r="B161" s="140">
        <f t="shared" si="7"/>
        <v>-1.2893629209161291E-2</v>
      </c>
      <c r="C161" s="140">
        <f>IF(S129=13,D90,IF(S129=14,D89,IF(S129=15,D88,IF(S129=16,D87,IF(S129=17,D86,IF(S129=18,D85,IF(S129=19,D84,IF(S129=20,D83,IF(S129=21,D82,IF(S129=22,D81,IF(S129=23,D80,IF(S129=24,D79,IF(S129=25,D78,IF(S129=26,D77,IF(S129=27,D76,IF(S129=28,D75,0))))))))))))))))</f>
        <v>4.8133395797096058E-2</v>
      </c>
      <c r="D161" s="143">
        <f t="shared" si="8"/>
        <v>3.5239766587934769E-2</v>
      </c>
      <c r="E161" s="293" t="s">
        <v>75</v>
      </c>
      <c r="F161" s="577">
        <v>7500</v>
      </c>
      <c r="G161" s="578">
        <f t="shared" ref="G161:L161" si="18">F161+500</f>
        <v>8000</v>
      </c>
      <c r="H161" s="578">
        <f t="shared" si="18"/>
        <v>8500</v>
      </c>
      <c r="I161" s="578">
        <f t="shared" si="18"/>
        <v>9000</v>
      </c>
      <c r="J161" s="579">
        <f t="shared" si="18"/>
        <v>9500</v>
      </c>
      <c r="K161" s="579">
        <f t="shared" si="18"/>
        <v>10000</v>
      </c>
      <c r="L161" s="578">
        <f t="shared" si="18"/>
        <v>10500</v>
      </c>
      <c r="N161" s="307">
        <f>N160+J97</f>
        <v>2.7610392326004707</v>
      </c>
      <c r="O161" s="388">
        <f>IF(F143&gt;((N161-N160)/2+N160),IF(F143&lt;((N162-N161)/2+N161),0.6,0),0)</f>
        <v>0</v>
      </c>
      <c r="P161" s="387">
        <f>IF(F144&gt;((N161-N160)/2+N160),IF(F144&lt;((N162-N161)/2+N161),0.6,0),0)</f>
        <v>0</v>
      </c>
      <c r="Q161" s="386">
        <f>IF(P161=0.6,J158,IF(Q160=J158,J158,0))</f>
        <v>0</v>
      </c>
      <c r="R161" s="392">
        <f>IF(F145-I18&gt;((N161-N160)/2+N160),IF(F145-I18&lt;((N162-N161)/2+N161),0.6,0),0)</f>
        <v>0</v>
      </c>
      <c r="S161" s="192">
        <f t="shared" si="12"/>
        <v>0</v>
      </c>
      <c r="T161" s="192">
        <f t="shared" si="15"/>
        <v>0</v>
      </c>
      <c r="U161" s="254">
        <f t="shared" si="9"/>
        <v>0</v>
      </c>
      <c r="V161" s="388">
        <f t="shared" si="4"/>
        <v>0</v>
      </c>
      <c r="W161" s="388">
        <f>IF(SUM(P133:P161)=0.6,IF(SUM(R133:R160)=0,IF(D161&gt;0,IF(P161=0.6,0,1),0),0),0)</f>
        <v>1</v>
      </c>
      <c r="X161" s="611">
        <f t="shared" si="16"/>
        <v>0</v>
      </c>
      <c r="Y161" s="601">
        <f t="shared" si="17"/>
        <v>0</v>
      </c>
      <c r="Z161" s="599">
        <f t="shared" si="6"/>
        <v>0</v>
      </c>
    </row>
    <row r="162" spans="1:26" ht="16">
      <c r="A162" s="109">
        <v>290</v>
      </c>
      <c r="B162" s="140">
        <f t="shared" si="7"/>
        <v>2.7946315454307927E-2</v>
      </c>
      <c r="C162" s="140">
        <f>IF(S129=13,D91,IF(S129=14,D90,IF(S129=15,D89,IF(S129=16,D88,IF(S129=17,D87,IF(S129=18,D86,IF(S129=19,D85,IF(S129=20,D84,IF(S129=21,D83,IF(S129=22,D82,IF(S129=23,D81,IF(S129=24,D80,IF(S129=25,D79,IF(S129=26,D78,IF(S129=27,D77,IF(S129=28,D76,IF(S129=29,D75,0)))))))))))))))))</f>
        <v>0.12195817125330732</v>
      </c>
      <c r="D162" s="143">
        <f t="shared" si="8"/>
        <v>0.14990448670761525</v>
      </c>
      <c r="E162" s="293" t="s">
        <v>175</v>
      </c>
      <c r="F162" s="580">
        <v>0.69</v>
      </c>
      <c r="G162" s="580">
        <v>0.57999999999999996</v>
      </c>
      <c r="H162" s="581">
        <v>0.28000000000000003</v>
      </c>
      <c r="I162" s="580">
        <v>0.04</v>
      </c>
      <c r="J162" s="580">
        <v>-0.15</v>
      </c>
      <c r="K162" s="580">
        <v>-0.2</v>
      </c>
      <c r="L162" s="580">
        <v>-0.21</v>
      </c>
      <c r="M162" s="389">
        <f>S209</f>
        <v>-0.20491593263745952</v>
      </c>
      <c r="N162" s="307">
        <f>N161+J97</f>
        <v>2.8169445947760634</v>
      </c>
      <c r="O162" s="388">
        <f>IF(F143&gt;((N162-N161)/2+N161),IF(F143&lt;((N163-N162)/2+N162),0.6,0),0)</f>
        <v>0</v>
      </c>
      <c r="P162" s="387">
        <f>IF(F144&gt;((N162-N161)/2+N161),IF(F144&lt;((N163-N162)/2+N162),0.6,0),0)</f>
        <v>0</v>
      </c>
      <c r="Q162" s="386">
        <f>IF(P162=0.6,J158,IF(Q161=J158,J158,0))</f>
        <v>0</v>
      </c>
      <c r="R162" s="392">
        <f>IF(F145-I18&gt;((N162-N161)/2+N161),IF(F145-I18&lt;((N163-N162)/2+N162),0.6,0),0)</f>
        <v>0</v>
      </c>
      <c r="S162" s="192">
        <f t="shared" si="12"/>
        <v>0</v>
      </c>
      <c r="T162" s="192">
        <f t="shared" si="15"/>
        <v>0</v>
      </c>
      <c r="U162" s="254">
        <f t="shared" si="9"/>
        <v>0</v>
      </c>
      <c r="V162" s="388">
        <f t="shared" si="4"/>
        <v>0</v>
      </c>
      <c r="W162" s="388">
        <f>IF(SUM(P133:P162)=0.6,IF(SUM(R133:R161)=0,IF(D162&gt;0,IF(P162=0.6,0,1),0),0),0)</f>
        <v>1</v>
      </c>
      <c r="X162" s="611">
        <f t="shared" si="16"/>
        <v>0</v>
      </c>
      <c r="Y162" s="601">
        <f t="shared" si="17"/>
        <v>0</v>
      </c>
      <c r="Z162" s="599">
        <f t="shared" ref="Z162:Z169" si="19">IF(Y162=0,0,1)</f>
        <v>0</v>
      </c>
    </row>
    <row r="163" spans="1:26" ht="16">
      <c r="A163" s="109">
        <v>300</v>
      </c>
      <c r="B163" s="140">
        <f t="shared" si="7"/>
        <v>5.7800955972656637E-2</v>
      </c>
      <c r="C163" s="140">
        <f>IF(S129=13,D92,IF(S129=14,D91,IF(S129=15,D90,IF(S129=16,D89,IF(S129=17,D88,IF(S129=18,D87,IF(S129=19,D86,IF(S129=20,D85,IF(S129=21,D84,IF(S129=22,D83,IF(S129=23,D82,IF(S129=24,D81,IF(S129=25,D80,IF(S129=26,D79,IF(S129=27,D78,IF(S129=28,D77,IF(S129=29,D76,IF(S129=30,D75,0))))))))))))))))))</f>
        <v>0.21403535210945895</v>
      </c>
      <c r="D163" s="143">
        <f t="shared" si="8"/>
        <v>0.27183630808211556</v>
      </c>
      <c r="E163" s="293" t="s">
        <v>76</v>
      </c>
      <c r="F163" s="582">
        <v>0.22</v>
      </c>
      <c r="G163" s="582">
        <v>0.35</v>
      </c>
      <c r="H163" s="583">
        <v>0.5</v>
      </c>
      <c r="I163" s="580">
        <v>0.66</v>
      </c>
      <c r="J163" s="580">
        <v>0.65</v>
      </c>
      <c r="K163" s="580">
        <v>0.39</v>
      </c>
      <c r="L163" s="580">
        <v>0.15</v>
      </c>
      <c r="M163" s="389">
        <f>T208</f>
        <v>0.39059803012845107</v>
      </c>
      <c r="N163" s="307">
        <f>N162+J97</f>
        <v>2.8728499569516561</v>
      </c>
      <c r="O163" s="388">
        <f>IF(F143&gt;((N163-N162)/2+N162),IF(F143&lt;((N164-N163)/2+N163),0.6,0),0)</f>
        <v>0</v>
      </c>
      <c r="P163" s="387">
        <f>IF(F144&gt;((N163-N162)/2+N162),IF(F144&lt;((N164-N163)/2+N163),0.6,0),0)</f>
        <v>0</v>
      </c>
      <c r="Q163" s="386">
        <f>IF(P163=0.6,J158,IF(Q162=J158,J158,0))</f>
        <v>0</v>
      </c>
      <c r="R163" s="392">
        <f>IF(F145-I18&gt;((N163-N162)/2+N162),IF(F145-I18&lt;((N164-N163)/2+N163),0.6,0),0)</f>
        <v>0</v>
      </c>
      <c r="S163" s="192">
        <f t="shared" si="12"/>
        <v>0</v>
      </c>
      <c r="T163" s="192">
        <f t="shared" si="15"/>
        <v>0</v>
      </c>
      <c r="U163" s="254">
        <f t="shared" si="9"/>
        <v>0</v>
      </c>
      <c r="V163" s="388">
        <f t="shared" si="4"/>
        <v>0</v>
      </c>
      <c r="W163" s="388">
        <f>IF(SUM(P133:P163)=0.6,IF(SUM(R133:R162)=0,IF(D163&gt;0,IF(P163=0.6,0,1),0),0),0)</f>
        <v>1</v>
      </c>
      <c r="X163" s="611">
        <f t="shared" si="16"/>
        <v>0</v>
      </c>
      <c r="Y163" s="601">
        <f t="shared" si="17"/>
        <v>0</v>
      </c>
      <c r="Z163" s="599">
        <f t="shared" si="19"/>
        <v>0</v>
      </c>
    </row>
    <row r="164" spans="1:26" ht="16">
      <c r="A164" s="109">
        <v>310</v>
      </c>
      <c r="B164" s="140">
        <f t="shared" si="7"/>
        <v>7.5202606894590629E-2</v>
      </c>
      <c r="C164" s="140">
        <f>IF(S129=13,D93,IF(S129=14,D92,IF(S129=15,D91,IF(S129=16,D90,IF(S129=17,D89,IF(S129=18,D88,IF(S129=19,D87,IF(S129=20,D86,IF(S129=21,D85,IF(S129=22,D84,IF(S129=23,D83,IF(S129=24,D82,IF(S129=25,D81,IF(S129=26,D80,IF(S129=27,D79,IF(S129=28,D78,IF(S129=29,D77,IF(S129=30,D76,IF(S129=31,D75,0)))))))))))))))))))</f>
        <v>0.31539542323386044</v>
      </c>
      <c r="D164" s="143">
        <f t="shared" si="8"/>
        <v>0.39059803012845107</v>
      </c>
      <c r="E164" s="489" t="s">
        <v>117</v>
      </c>
      <c r="F164" s="582">
        <v>-0.17</v>
      </c>
      <c r="G164" s="580">
        <v>-0.17</v>
      </c>
      <c r="H164" s="582">
        <v>-0.17</v>
      </c>
      <c r="I164" s="582">
        <v>-0.17</v>
      </c>
      <c r="J164" s="580">
        <v>-0.16</v>
      </c>
      <c r="K164" s="580">
        <v>-0.11</v>
      </c>
      <c r="L164" s="582">
        <v>-0.08</v>
      </c>
      <c r="M164" s="530">
        <f>X171</f>
        <v>-0.11242049656226467</v>
      </c>
      <c r="N164" s="307">
        <f>N163+J97</f>
        <v>2.9287553191272488</v>
      </c>
      <c r="O164" s="388">
        <f>IF(F143&gt;((N164-N163)/2+N163),IF(F143&lt;((N165-N164)/2+N164),0.6,0),0)</f>
        <v>0</v>
      </c>
      <c r="P164" s="387">
        <f>IF(F144&gt;((N164-N163)/2+N163),IF(F144&lt;((N165-N164)/2+N164),0.6,0),0)</f>
        <v>0</v>
      </c>
      <c r="Q164" s="386">
        <f>IF(P164=0.6,J158,IF(Q163=J158,J158,0))</f>
        <v>0</v>
      </c>
      <c r="R164" s="392">
        <f>IF(F145-I18&gt;((N164-N163)/2+N163),IF(F145-I18&lt;((N165-N164)/2+N164),0.6,0),0)</f>
        <v>0.6</v>
      </c>
      <c r="S164" s="192">
        <f t="shared" si="12"/>
        <v>0</v>
      </c>
      <c r="T164" s="192">
        <f t="shared" si="15"/>
        <v>0.39059803012845107</v>
      </c>
      <c r="U164" s="254">
        <f t="shared" si="9"/>
        <v>0</v>
      </c>
      <c r="V164" s="388">
        <f t="shared" si="4"/>
        <v>0</v>
      </c>
      <c r="W164" s="388">
        <f>IF(SUM(P133:P164)=0.6,IF(SUM(R133:R163)=0,IF(D164&gt;0,IF(P164=0.6,0,1),0),0),0)</f>
        <v>1</v>
      </c>
      <c r="X164" s="611">
        <f t="shared" si="16"/>
        <v>0</v>
      </c>
      <c r="Y164" s="601">
        <f t="shared" si="17"/>
        <v>0</v>
      </c>
      <c r="Z164" s="599">
        <f t="shared" si="19"/>
        <v>0</v>
      </c>
    </row>
    <row r="165" spans="1:26" ht="16">
      <c r="A165" s="109">
        <v>320</v>
      </c>
      <c r="B165" s="140">
        <f t="shared" si="7"/>
        <v>8.0388921022861451E-2</v>
      </c>
      <c r="C165" s="140">
        <f>IF(S129=13,D94,IF(S129=14,D93,IF(S129=15,D92,IF(S129=16,D91,IF(S129=17,D90,IF(S129=18,D89,IF(S129=19,D88,IF(S129=20,D87,IF(S129=21,D86,IF(S129=22,D85,IF(S129=23,D84,IF(S129=24,D83,IF(S129=25,D82,IF(S129=26,D81,IF(S129=27,D80,IF(S129=28,D79,IF(S129=29,D78,IF(S129=30,D77,IF(S129=31,D76,IF(S129=32,D75,0))))))))))))))))))))</f>
        <v>0.41629046014770688</v>
      </c>
      <c r="D165" s="143">
        <f t="shared" si="8"/>
        <v>0.49667938117056831</v>
      </c>
      <c r="E165" s="293" t="s">
        <v>174</v>
      </c>
      <c r="F165" s="582">
        <v>0.03</v>
      </c>
      <c r="G165" s="580">
        <v>-7.0000000000000007E-2</v>
      </c>
      <c r="H165" s="580">
        <v>-0.15</v>
      </c>
      <c r="I165" s="580">
        <v>-0.18</v>
      </c>
      <c r="J165" s="580">
        <v>-0.18</v>
      </c>
      <c r="K165" s="580">
        <v>-0.18</v>
      </c>
      <c r="L165" s="580">
        <v>-0.17</v>
      </c>
      <c r="M165" s="561">
        <f>U209/H159</f>
        <v>-0.18305345888239244</v>
      </c>
      <c r="N165" s="307">
        <f>N164+J97</f>
        <v>2.9846606813028416</v>
      </c>
      <c r="O165" s="388">
        <f>IF(F143&gt;((N165-N164)/2+N164),IF(F143&lt;((N166-N165)/2+N165),0.6,0),0)</f>
        <v>0</v>
      </c>
      <c r="P165" s="387">
        <f>IF(F144&gt;((N165-N164)/2+N164),IF(F144&lt;((N166-N165)/2+N165),0.6,0),0)</f>
        <v>0</v>
      </c>
      <c r="Q165" s="386">
        <f>IF(P165=0.6,J158,IF(Q164=J158,J158,0))</f>
        <v>0</v>
      </c>
      <c r="R165" s="392">
        <f>IF(F145-I18&gt;((N165-N164)/2+N164),IF(F145-I18&lt;((N166-N165)/2+N165),0.6,0),0)</f>
        <v>0</v>
      </c>
      <c r="S165" s="192">
        <f t="shared" si="12"/>
        <v>0</v>
      </c>
      <c r="T165" s="192">
        <f t="shared" si="15"/>
        <v>0</v>
      </c>
      <c r="U165" s="254">
        <f t="shared" si="9"/>
        <v>0</v>
      </c>
      <c r="V165" s="388">
        <f t="shared" si="4"/>
        <v>0</v>
      </c>
      <c r="W165" s="388">
        <f>IF(SUM(P133:P165)=0.6,IF(SUM(R133:R164)=0,IF(D165&gt;0,IF(P165=0.6,0,1),0),0),0)</f>
        <v>0</v>
      </c>
      <c r="X165" s="611">
        <f t="shared" si="16"/>
        <v>0</v>
      </c>
      <c r="Y165" s="601">
        <f t="shared" si="17"/>
        <v>0</v>
      </c>
      <c r="Z165" s="599">
        <f t="shared" si="19"/>
        <v>0</v>
      </c>
    </row>
    <row r="166" spans="1:26" ht="16">
      <c r="A166" s="109">
        <v>330</v>
      </c>
      <c r="B166" s="129">
        <f t="shared" ref="B166:B191" si="20">D39</f>
        <v>8.0147392025743183E-2</v>
      </c>
      <c r="C166" s="140">
        <f>IF(S129=13,D95,IF(S129=14,D94,IF(S129=15,D93,IF(S129=16,D92,IF(S129=17,D91,IF(S129=18,D90,IF(S129=19,D89,IF(S129=20,D88,IF(S129=21,D87,IF(S129=22,D86,IF(S129=23,D85,IF(S129=24,D84,IF(S129=25,D83,IF(S129=26,D82,IF(S129=27,D81,IF(S129=28,D80,IF(S129=29,D79,IF(S129=30,D78,IF(S129=31,D77,IF(S129=32,D76,IF(S129=33,D75,0)))))))))))))))))))))</f>
        <v>0.50701153344439243</v>
      </c>
      <c r="D166" s="143">
        <f t="shared" si="8"/>
        <v>0.5871589254701356</v>
      </c>
      <c r="E166" s="293" t="s">
        <v>307</v>
      </c>
      <c r="F166" s="582">
        <v>-6.4000000000000001E-2</v>
      </c>
      <c r="G166" s="584">
        <v>-0.05</v>
      </c>
      <c r="H166" s="584">
        <v>-3.6999999999999998E-2</v>
      </c>
      <c r="I166" s="584">
        <v>-0.03</v>
      </c>
      <c r="J166" s="584">
        <v>-2.4E-2</v>
      </c>
      <c r="K166" s="584">
        <v>-1.0999999999999999E-2</v>
      </c>
      <c r="L166" s="584">
        <v>-6.0000000000000001E-3</v>
      </c>
      <c r="M166" s="562">
        <f>Y171/((F143-F142)/G158)</f>
        <v>-1.0605140333308442E-2</v>
      </c>
      <c r="N166" s="307">
        <f>N165+J97</f>
        <v>3.0405660434784343</v>
      </c>
      <c r="O166" s="388">
        <f>IF(F143&gt;((N166-N165)/2+N165),IF(F143&lt;((N167-N166)/2+N166),0.6,0),0)</f>
        <v>0</v>
      </c>
      <c r="P166" s="387">
        <f>IF(F144&gt;((N166-N165)/2+N165),IF(F144&lt;((N167-N166)/2+N166),0.6,0),0)</f>
        <v>0</v>
      </c>
      <c r="Q166" s="386">
        <f>IF(P166=0.6,J158,IF(Q165=J158,J158,0))</f>
        <v>0</v>
      </c>
      <c r="R166" s="392">
        <f>IF(F145-I18&gt;((N166-N165)/2+N165),IF(F145-I18&lt;((N167-N166)/2+N166),0.6,0),0)</f>
        <v>0</v>
      </c>
      <c r="S166" s="192">
        <f t="shared" si="12"/>
        <v>0</v>
      </c>
      <c r="T166" s="192">
        <f t="shared" si="15"/>
        <v>0</v>
      </c>
      <c r="U166" s="254">
        <f t="shared" ref="U166:U182" si="21">IF(U165=0,IF(O166=0.6,D166,0),IF(P166=0.6,0,D166))</f>
        <v>0</v>
      </c>
      <c r="V166" s="388">
        <f t="shared" si="4"/>
        <v>0</v>
      </c>
      <c r="W166" s="388">
        <f>IF(SUM(P133:P166)=0.6,IF(SUM(R133:R165)=0,IF(D166&gt;0,IF(P166=0.6,0,1),0),0),0)</f>
        <v>0</v>
      </c>
      <c r="X166" s="611">
        <f t="shared" si="16"/>
        <v>0</v>
      </c>
      <c r="Y166" s="601">
        <f t="shared" si="17"/>
        <v>0</v>
      </c>
      <c r="Z166" s="599">
        <f t="shared" si="19"/>
        <v>0</v>
      </c>
    </row>
    <row r="167" spans="1:26" ht="16">
      <c r="A167" s="109">
        <v>340</v>
      </c>
      <c r="B167" s="130">
        <f t="shared" si="20"/>
        <v>7.6253135407228681E-2</v>
      </c>
      <c r="C167" s="140">
        <f>IF(S129=13,D96,IF(S129=14,D95,IF(S129=15,D94,IF(S129=16,D93,IF(S129=17,D92,IF(S129=18,D91,IF(S129=19,D90,IF(S129=20,D89,IF(S129=21,D88,IF(S129=22,D87,IF(S129=23,D86,IF(S129=24,D85,IF(S129=25,D84,IF(S129=26,D83,IF(S129=27,D82,IF(S129=28,D81,IF(S129=29,D80,IF(S129=30,D79,IF(S129=31,D78,IF(S129=32,D77,IF(S129=33,D76,IF(S129=34,D75,0))))))))))))))))))))))</f>
        <v>0.57870284330819777</v>
      </c>
      <c r="D167" s="143">
        <f t="shared" si="8"/>
        <v>0.65495597871542643</v>
      </c>
      <c r="E167" s="293" t="s">
        <v>490</v>
      </c>
      <c r="F167" s="585">
        <f t="shared" ref="F167:L167" si="22">F189+F190</f>
        <v>1.9797999999999998</v>
      </c>
      <c r="G167" s="585">
        <f t="shared" si="22"/>
        <v>3.13</v>
      </c>
      <c r="H167" s="585">
        <f t="shared" si="22"/>
        <v>4.1684000000000001</v>
      </c>
      <c r="I167" s="612">
        <f t="shared" si="22"/>
        <v>5.08</v>
      </c>
      <c r="J167" s="612">
        <f t="shared" si="22"/>
        <v>4.8558000000000003</v>
      </c>
      <c r="K167" s="585">
        <f t="shared" si="22"/>
        <v>3.1932</v>
      </c>
      <c r="L167" s="585">
        <f t="shared" si="22"/>
        <v>1.6682000000000001</v>
      </c>
      <c r="M167" s="560"/>
      <c r="N167" s="548">
        <f>N166+J97</f>
        <v>3.096471405654027</v>
      </c>
      <c r="O167" s="388">
        <f>IF(F143&gt;((N167-N166)/2+N166),IF(F143&lt;((N168-N167)/2+N167),0.6,0),0)</f>
        <v>0</v>
      </c>
      <c r="P167" s="387">
        <f>IF(F144&gt;((N167-N166)/2+N166),IF(F144&lt;((N168-N167)/2+N167),0.6,0),0)</f>
        <v>0</v>
      </c>
      <c r="Q167" s="386">
        <f>IF(P167=0.6,J158,IF(Q166=J158,J158,0))</f>
        <v>0</v>
      </c>
      <c r="R167" s="392">
        <f>IF(F145-I18&gt;((N167-N166)/2+N166),IF(F145-I18&lt;((N168-N167)/2+N167),0.6,0),0)</f>
        <v>0</v>
      </c>
      <c r="S167" s="192">
        <f t="shared" si="12"/>
        <v>0</v>
      </c>
      <c r="T167" s="192">
        <f t="shared" si="15"/>
        <v>0</v>
      </c>
      <c r="U167" s="254">
        <f t="shared" si="21"/>
        <v>0</v>
      </c>
      <c r="V167" s="388">
        <f t="shared" si="4"/>
        <v>0</v>
      </c>
      <c r="W167" s="388">
        <f>IF(SUM(P133:P167)=0.6,IF(SUM(R133:R166)=0,IF(D167&gt;0,IF(P167=0.6,0,1),0),0),0)</f>
        <v>0</v>
      </c>
      <c r="X167" s="611">
        <f t="shared" si="16"/>
        <v>0</v>
      </c>
      <c r="Y167" s="601">
        <f t="shared" si="17"/>
        <v>0</v>
      </c>
      <c r="Z167" s="599">
        <f t="shared" si="19"/>
        <v>0</v>
      </c>
    </row>
    <row r="168" spans="1:26" ht="16">
      <c r="A168" s="109">
        <v>350</v>
      </c>
      <c r="B168" s="130">
        <f t="shared" si="20"/>
        <v>6.8887717097038573E-2</v>
      </c>
      <c r="C168" s="140">
        <f>IF(S129=13,D97,IF(S129=14,D96,IF(S129=15,D95,IF(S129=16,D94,IF(S129=17,D93,IF(S129=18,D92,IF(S129=19,D91,IF(S129=20,D90,IF(S129=21,D89,IF(S129=22,D88,IF(S129=23,D87,IF(S129=24,D86,IF(S129=25,D85,IF(S129=26,D84,IF(S129=27,D83,IF(S129=28,D82,IF(S129=29,D81,IF(S129=30,D80,IF(S129=31,D79,IF(S129=32,D78,IF(S129=33,D77,IF(S129=34,D76,IF(S129=35,D75,0)))))))))))))))))))))))</f>
        <v>0.62410431553272105</v>
      </c>
      <c r="D168" s="143">
        <f t="shared" si="8"/>
        <v>0.69299203262975961</v>
      </c>
      <c r="E168" s="630" t="s">
        <v>491</v>
      </c>
      <c r="F168" s="631">
        <f t="shared" ref="F168:L168" si="23">F167*(F161/5252)</f>
        <v>2.827208682406702</v>
      </c>
      <c r="G168" s="631">
        <f t="shared" si="23"/>
        <v>4.7677075399847677</v>
      </c>
      <c r="H168" s="631">
        <f t="shared" si="23"/>
        <v>6.7462680883472963</v>
      </c>
      <c r="I168" s="631">
        <f t="shared" si="23"/>
        <v>8.7052551408987053</v>
      </c>
      <c r="J168" s="631">
        <f t="shared" si="23"/>
        <v>8.7833396801218591</v>
      </c>
      <c r="K168" s="631">
        <f t="shared" si="23"/>
        <v>6.0799695354150805</v>
      </c>
      <c r="L168" s="631">
        <f t="shared" si="23"/>
        <v>3.3351294744859104</v>
      </c>
      <c r="N168" s="548">
        <f>N167+J97</f>
        <v>3.1523767678296197</v>
      </c>
      <c r="O168" s="388">
        <f>IF(F143&gt;((N168-N167)/2+N167),IF(F143&lt;((N169-N168)/2+N168),0.6,0),0)</f>
        <v>0</v>
      </c>
      <c r="P168" s="387">
        <f>IF(F144&gt;((N168-N167)/2+N167),IF(F144&lt;((N169-N168)/2+N168),0.6,0),0)</f>
        <v>0</v>
      </c>
      <c r="Q168" s="386">
        <f>IF(P168=0.6,J158,IF(Q167=J158,J158,0))</f>
        <v>0</v>
      </c>
      <c r="R168" s="392">
        <f>IF((F145-I18)&gt;((N168-N167)/2+N167),IF((F145-I18)&lt;((N169-N168)/2+N168),0.6,0),0)</f>
        <v>0</v>
      </c>
      <c r="S168" s="192">
        <f t="shared" si="12"/>
        <v>0</v>
      </c>
      <c r="T168" s="192">
        <f t="shared" si="15"/>
        <v>0</v>
      </c>
      <c r="U168" s="254">
        <f t="shared" si="21"/>
        <v>0</v>
      </c>
      <c r="V168" s="388">
        <f t="shared" ref="V168:V172" si="24">IF(U168=0,0,1)</f>
        <v>0</v>
      </c>
      <c r="W168" s="388">
        <f>IF(SUM(P133:P168)=0.6,IF(SUM(R133:R167)=0,IF(D168&gt;0,IF(P168=0.6,0,1),0),0),0)</f>
        <v>0</v>
      </c>
      <c r="X168" s="611">
        <f t="shared" si="16"/>
        <v>0</v>
      </c>
      <c r="Y168" s="601">
        <f t="shared" si="17"/>
        <v>0</v>
      </c>
      <c r="Z168" s="599">
        <f t="shared" si="19"/>
        <v>0</v>
      </c>
    </row>
    <row r="169" spans="1:26" ht="16">
      <c r="A169" s="109">
        <v>360</v>
      </c>
      <c r="B169" s="130">
        <f t="shared" si="20"/>
        <v>5.8567434673607748E-2</v>
      </c>
      <c r="C169" s="140">
        <f>IF(S129=13,D98,IF(S129=14,D97,IF(S129=15,D96,IF(S129=16,D95,IF(S129=17,D94,IF(S129=18,D93,IF(S129=19,D92,IF(S129=20,D91,IF(S129=21,D90,IF(S129=22,D89,IF(S129=23,D88,IF(S129=24,D87,IF(S129=25,D86,IF(S129=26,D85,IF(S129=27,D84,IF(S129=28,D83,IF(S129=29,D82,IF(S129=30,D81,IF(S129=31,D80,IF(S129=32,D79,IF(S129=33,D78,IF(S129=34,D77,IF(S129=35,D76,IF(S129=36,D75,0))))))))))))))))))))))))</f>
        <v>0.63816038924320317</v>
      </c>
      <c r="D169" s="594">
        <f t="shared" si="8"/>
        <v>0.69672782391681087</v>
      </c>
      <c r="E169" s="635"/>
      <c r="F169" s="636"/>
      <c r="N169" s="307">
        <f>N168+J97</f>
        <v>3.2082821300052125</v>
      </c>
      <c r="O169" s="388">
        <f>IF(F143&gt;((N169-N168)/2+N168),IF(F143&lt;((N170-N169)/2+N169),0.6,0),0)</f>
        <v>0</v>
      </c>
      <c r="P169" s="387">
        <f>IF(F144&gt;((N169-N168)/2+N168),IF(F144&lt;((N170-N169)/2+N169),0.6,0),0)</f>
        <v>0</v>
      </c>
      <c r="Q169" s="386">
        <f>IF(P169=0.6,J158,IF(Q168=J158,J158,0))</f>
        <v>0</v>
      </c>
      <c r="R169" s="392">
        <f>IF(F145-I18&gt;((N169-N168)/2+N168),IF(F145-I18&lt;((N170-N169)/2+N169),0.6,0),0)</f>
        <v>0</v>
      </c>
      <c r="S169" s="192">
        <f t="shared" si="12"/>
        <v>0</v>
      </c>
      <c r="T169" s="192">
        <f t="shared" si="15"/>
        <v>0</v>
      </c>
      <c r="U169" s="254">
        <f t="shared" si="21"/>
        <v>0</v>
      </c>
      <c r="V169" s="388">
        <f t="shared" si="24"/>
        <v>0</v>
      </c>
      <c r="W169" s="388">
        <f>IF(SUM(P133:P169)=0.6,IF(SUM(R133:R168)=0,IF(D169&gt;0,IF(P169=0.6,0,1),0),0),0)</f>
        <v>0</v>
      </c>
      <c r="X169" s="611">
        <f t="shared" si="16"/>
        <v>0</v>
      </c>
      <c r="Y169" s="601">
        <f t="shared" si="17"/>
        <v>0</v>
      </c>
      <c r="Z169" s="599">
        <f t="shared" si="19"/>
        <v>0</v>
      </c>
    </row>
    <row r="170" spans="1:26">
      <c r="A170" s="109">
        <v>370</v>
      </c>
      <c r="B170" s="130">
        <f t="shared" si="20"/>
        <v>4.6073278883151846E-2</v>
      </c>
      <c r="C170" s="140">
        <f>IF(S129=13,D99,IF(S129=14,D98,IF(S129=15,D97,IF(S129=16,D96,IF(S129=17,D95,IF(S129=18,D94,IF(S129=19,D93,IF(S129=20,D92,IF(S129=21,D91,IF(S129=22,D90,IF(S129=23,D89,IF(S129=24,D88,IF(S129=25,D87,IF(S129=26,D86,IF(S129=27,D85,IF(S129=28,D84,IF(S129=29,D83,IF(S129=30,D82,IF(S129=31,D81,IF(S129=32,D80,IF(S129=33,D79,IF(S129=34,D78,IF(S129=35,D77,IF(S129=36,D76,IF(S129=37,D75,0)))))))))))))))))))))))))</f>
        <v>0.61844394691466931</v>
      </c>
      <c r="D170" s="143">
        <f t="shared" si="8"/>
        <v>0.66451722579782113</v>
      </c>
      <c r="H170" s="638" t="s">
        <v>496</v>
      </c>
      <c r="I170" s="637" t="s">
        <v>497</v>
      </c>
      <c r="N170" s="307">
        <f>N169+J97</f>
        <v>3.2641874921808052</v>
      </c>
      <c r="O170" s="388">
        <f>IF(F143&gt;((N170-N169)/2+N169),IF(F143&lt;((N171-N170)/2+N170),0.6,0),0)</f>
        <v>0</v>
      </c>
      <c r="P170" s="387">
        <f>IF(F144&gt;((N170-N169)/2+N169),IF(F144&lt;((N171-N170)/2+N170),0.6,0),0)</f>
        <v>0</v>
      </c>
      <c r="Q170" s="386">
        <f>IF(P170=0.6,J158,IF(Q169=J158,J158,0))</f>
        <v>0</v>
      </c>
      <c r="R170" s="392">
        <f>IF(F145-I18&gt;((N170-N169)/2+N169),IF(F145-I18&lt;((N171-N170)/2+N170),0.6,0),0)</f>
        <v>0</v>
      </c>
      <c r="S170" s="192">
        <f t="shared" si="12"/>
        <v>0</v>
      </c>
      <c r="T170" s="192">
        <f t="shared" si="15"/>
        <v>0</v>
      </c>
      <c r="U170" s="254">
        <f t="shared" si="21"/>
        <v>0</v>
      </c>
      <c r="V170" s="388">
        <f t="shared" si="24"/>
        <v>0</v>
      </c>
      <c r="W170" s="388">
        <f>IF(SUM(P133:P170)=0.6,IF(SUM(R133:R169)=0,IF(D170&gt;0,IF(P170=0.6,0,1),0),0),0)</f>
        <v>0</v>
      </c>
      <c r="X170" s="611">
        <f t="shared" si="16"/>
        <v>0</v>
      </c>
      <c r="Y170" s="601">
        <f t="shared" si="17"/>
        <v>0</v>
      </c>
    </row>
    <row r="171" spans="1:26" ht="16">
      <c r="A171" s="109">
        <v>380</v>
      </c>
      <c r="B171" s="130">
        <f t="shared" si="20"/>
        <v>3.2393056193936315E-2</v>
      </c>
      <c r="C171" s="140">
        <f>IF(S129=13,D100,IF(S129=14,D99,IF(S129=15,D98,IF(S129=16,D97,IF(S129=17,D96,IF(S129=18,D95,IF(S129=19,D94,IF(S129=20,D93,IF(S129=21,D92,IF(S129=22,D91,IF(S129=23,D90,IF(S129=24,D89,IF(S129=25,D88,IF(S129=26,D87,IF(S129=27,D86,IF(S129=28,D85,IF(S129=29,D84,IF(S129=30,D83,IF(S129=31,D82,IF(S129=32,D81,IF(S129=33,D80,IF(S129=34,D79,IF(S129=35,D78,IF(S129=36,D77,IF(S129=37,D76,0)))))))))))))))))))))))))</f>
        <v>0.58350319762161484</v>
      </c>
      <c r="D171" s="143">
        <f t="shared" si="8"/>
        <v>0.61589625381555113</v>
      </c>
      <c r="F171" s="245"/>
      <c r="G171" s="294"/>
      <c r="H171" s="295"/>
      <c r="I171" s="295"/>
      <c r="J171" s="295"/>
      <c r="K171" s="295"/>
      <c r="L171" s="295"/>
      <c r="M171" s="479"/>
      <c r="N171" s="307">
        <f>N170+J97</f>
        <v>3.3200928543563979</v>
      </c>
      <c r="O171" s="388">
        <f>IF(F143&gt;((N171-N170)/2+N170),IF(F143&lt;((N172-N171)/2+N171),0.6,0),0)</f>
        <v>0</v>
      </c>
      <c r="P171" s="387">
        <f>IF(F144&gt;((N171-N170)/2+N170),IF(F144&lt;((N172-N171)/2+N171),0.6,0),0)</f>
        <v>0</v>
      </c>
      <c r="Q171" s="386">
        <f>IF(P171=0.6,J158,IF(Q170=J158,J158,0))</f>
        <v>0</v>
      </c>
      <c r="R171" s="392">
        <f>IF(F145-I18&gt;((N171-N170)/2+N170),IF(F145-I18&lt;((N172-N171)/2+N171),0.6,0),0)</f>
        <v>0</v>
      </c>
      <c r="S171" s="192">
        <f t="shared" si="12"/>
        <v>0</v>
      </c>
      <c r="T171" s="192">
        <f t="shared" si="15"/>
        <v>0</v>
      </c>
      <c r="U171" s="254">
        <f t="shared" si="21"/>
        <v>0</v>
      </c>
      <c r="V171" s="388">
        <f t="shared" si="24"/>
        <v>0</v>
      </c>
      <c r="W171" s="388">
        <f>IF(SUM(P133:P171)=0.6,IF(SUM(R133:R170)=0,IF(D171&gt;0,IF(P171=0.6,0,1),0),0),0)</f>
        <v>0</v>
      </c>
      <c r="X171" s="600">
        <f>SUM(X133:X170)</f>
        <v>-0.11242049656226467</v>
      </c>
      <c r="Y171" s="609">
        <f>SUM(Y133:Y170)</f>
        <v>-0.18969808835150409</v>
      </c>
    </row>
    <row r="172" spans="1:26" ht="16">
      <c r="A172" s="109">
        <v>390</v>
      </c>
      <c r="B172" s="130">
        <f t="shared" si="20"/>
        <v>1.9321243497149782E-2</v>
      </c>
      <c r="C172" s="140">
        <f>IF(S129=13,D101,IF(S129=14,D100,IF(S129=15,D99,IF(S129=16,D98,IF(S129=17,D97,IF(S129=18,D96,IF(S129=19,D95,IF(S129=20,D94,IF(S129=21,D93,IF(S129=22,D92,IF(S129=23,D91,IF(S129=24,D90,IF(S129=25,D89,IF(S129=26,D88,IF(S129=27,D87,IF(S129=28,D86,IF(S129=29,D85,IF(S129=30,D84,IF(S129=31,D83,IF(S129=32,D82,IF(S129=33,D81,IF(S129=34,D80,IF(S129=35,D79,IF(S129=36,D78,IF(S129=37,D77,IF(S129=38,D76,0))))))))))))))))))))))))))</f>
        <v>0.54252948884948193</v>
      </c>
      <c r="D172" s="143">
        <f t="shared" si="8"/>
        <v>0.56185073234663174</v>
      </c>
      <c r="F172" s="245"/>
      <c r="G172" s="246"/>
      <c r="H172" s="247"/>
      <c r="I172" s="248"/>
      <c r="J172" s="248"/>
      <c r="K172" s="248"/>
      <c r="L172" s="248"/>
      <c r="M172" s="248"/>
      <c r="N172" s="307">
        <f>N171+J97</f>
        <v>3.3759982165319906</v>
      </c>
      <c r="O172" s="388">
        <f>IF(F143&gt;((N172-N171)/2+N171),IF(F143&lt;((N173-N172)/2+N172),0.6,0),0)</f>
        <v>0</v>
      </c>
      <c r="P172" s="387">
        <f>IF(F144&gt;((N172-N171)/2+N171),IF(F144&lt;((N173-N172)/2+N172),0.6,0),0)</f>
        <v>0</v>
      </c>
      <c r="Q172" s="386">
        <f>IF(P172=0.6,J158,IF(Q171=J158,J158,0))</f>
        <v>0</v>
      </c>
      <c r="R172" s="392">
        <f>IF(F145-I18&gt;((N172-N171)/2+N171),IF(F145-I18&lt;((N173-N172)/2+N172),0.6,0),0)</f>
        <v>0</v>
      </c>
      <c r="S172" s="192">
        <f t="shared" si="12"/>
        <v>0</v>
      </c>
      <c r="T172" s="192">
        <f t="shared" si="15"/>
        <v>0</v>
      </c>
      <c r="U172" s="254">
        <f t="shared" si="21"/>
        <v>0</v>
      </c>
      <c r="V172" s="519">
        <f t="shared" si="24"/>
        <v>0</v>
      </c>
      <c r="W172" s="52">
        <f>IF(SUM(P133:P172)=0.6,IF(SUM(R133:R171)=0,IF(D172&gt;0,IF(P172=0.6,0,1),0),0),0)</f>
        <v>0</v>
      </c>
    </row>
    <row r="173" spans="1:26">
      <c r="A173" s="109">
        <v>400</v>
      </c>
      <c r="B173" s="130">
        <f t="shared" si="20"/>
        <v>9.1929616988171235E-3</v>
      </c>
      <c r="C173" s="140">
        <f>IF(S129=13,D102,IF(S129=14,D101,IF(S129=15,D100,IF(S129=16,D99,IF(S129=17,D98,IF(S129=18,D97,IF(S129=19,D96,IF(S129=20,D95,IF(S129=21,D94,IF(S129=22,D93,IF(S129=23,D92,IF(S129=24,D91,IF(S129=25,D90,IF(S129=26,D89,IF(S129=27,D88,IF(S129=28,D87,IF(S129=29,D86,IF(S129=30,D85,IF(S129=31,D84,IF(S129=32,D83,IF(S129=33,D82,IF(S129=34,D81,IF(S129=35,D80,IF(S129=36,D79,IF(S129=37,D78,IF(S129=38,D77,IF(S129=39,D76,0)))))))))))))))))))))))))))</f>
        <v>0.49565828592533201</v>
      </c>
      <c r="D173" s="143">
        <f t="shared" si="8"/>
        <v>0.50485124762414912</v>
      </c>
      <c r="F173" s="241"/>
      <c r="G173" s="243"/>
      <c r="H173" s="243"/>
      <c r="I173" s="243"/>
      <c r="J173" s="244"/>
      <c r="K173" s="242"/>
      <c r="L173" s="243"/>
      <c r="M173" s="244"/>
      <c r="N173" s="307">
        <f>N172+J97</f>
        <v>3.4319035787075833</v>
      </c>
      <c r="O173" s="388">
        <f>IF(F143&gt;((N173-N172)/2+N172),IF(F143&lt;((N174-N173)/2+N173),0.6,0),0)</f>
        <v>0</v>
      </c>
      <c r="P173" s="387">
        <f>IF(F144&gt;((N173-N172)/2+N172),IF(F144&lt;((N174-N173)/2+N173),0.6,0),0)</f>
        <v>0</v>
      </c>
      <c r="Q173" s="386">
        <f>IF(P173=0.6,J158,IF(Q172=J158,J158,0))</f>
        <v>0</v>
      </c>
      <c r="R173" s="392">
        <f>IF(F145-I18&gt;((N173-N172)/2+N172),IF(F145-I18&lt;((N174-N173)/2+N173),0.6,0),0)</f>
        <v>0</v>
      </c>
      <c r="S173" s="192">
        <f t="shared" si="12"/>
        <v>0</v>
      </c>
      <c r="T173" s="192">
        <f t="shared" si="15"/>
        <v>0</v>
      </c>
      <c r="U173" s="254">
        <f t="shared" si="21"/>
        <v>0</v>
      </c>
      <c r="V173" s="519">
        <f>IF(U173=0,0,1)</f>
        <v>0</v>
      </c>
      <c r="W173" s="52">
        <f>IF(SUM(P133:P173)=0.6,IF(SUM(R133:R172)=0,IF(D173&gt;0,IF(P173=0.6,0,1),0),0),0)</f>
        <v>0</v>
      </c>
    </row>
    <row r="174" spans="1:26">
      <c r="A174" s="109">
        <v>410</v>
      </c>
      <c r="B174" s="130">
        <f t="shared" si="20"/>
        <v>2.6405974036905816E-3</v>
      </c>
      <c r="C174" s="140">
        <f>IF(S129=13,D103,IF(S129=14,D102,IF(S129=15,D101,IF(S129=16,D100,IF(S129=17,D99,IF(S129=18,D98,IF(S129=19,D97,IF(S129=20,D96,IF(S129=21,D95,IF(S129=22,D94,IF(S129=23,D93,IF(S129=24,D92,IF(S129=25,D91,IF(S129=26,D90,IF(S129=27,D89,IF(S129=28,D88,IF(S129=29,D87,IF(S129=30,D86,IF(S129=31,D85,IF(S129=32,D84,IF(S129=33,D83,IF(S129=34,D82,IF(S129=35,D81,IF(S129=36,D80,IF(S129=37,D79,IF(S129=38,D78,IF(S129=39,D77,IF(S129=40,D76,0))))))))))))))))))))))))))))</f>
        <v>0.4465077075492665</v>
      </c>
      <c r="D174" s="143">
        <f t="shared" si="8"/>
        <v>0.4491483049529571</v>
      </c>
      <c r="F174" s="1"/>
      <c r="N174" s="307">
        <f>N173+J97</f>
        <v>3.4878089408831761</v>
      </c>
      <c r="O174" s="388">
        <f>IF(F143&gt;((N174-N173)/2+N173),IF(F143&lt;((N175-N174)/2+N174),0.6,0),0)</f>
        <v>0</v>
      </c>
      <c r="P174" s="387">
        <f>IF(F144&gt;((N174-N173)/2+N173),IF(F144&lt;((N175-N174)/2+N174),0.6,0),0)</f>
        <v>0</v>
      </c>
      <c r="Q174" s="386">
        <f>IF(P174=0.6,J158,IF(Q173=J158,J158,0))</f>
        <v>0</v>
      </c>
      <c r="R174" s="392">
        <f>IF(F145-I18&gt;((N174-N173)/2+N173),IF(F145-I18&lt;((N175-N174)/2+N174),0.6,0),0)</f>
        <v>0</v>
      </c>
      <c r="S174" s="192">
        <f t="shared" si="12"/>
        <v>0</v>
      </c>
      <c r="T174" s="192">
        <f t="shared" si="15"/>
        <v>0</v>
      </c>
      <c r="U174" s="254">
        <f t="shared" si="21"/>
        <v>0</v>
      </c>
      <c r="W174" s="52">
        <f>IF(SUM(P133:P174)=0.6,IF(SUM(R133:R173)=0,IF(D174&gt;0,IF(P174=0.6,0,1),0),0),0)</f>
        <v>0</v>
      </c>
    </row>
    <row r="175" spans="1:26">
      <c r="A175" s="109">
        <v>420</v>
      </c>
      <c r="B175" s="130">
        <f t="shared" si="20"/>
        <v>0</v>
      </c>
      <c r="C175" s="140">
        <f>IF(S129=13,D104,IF(S129=14,D103,IF(S129=15,D102,IF(S129=16,D101,IF(S129=17,D100,IF(S129=18,D99,IF(S129=19,D98,IF(S129=20,D97,IF(S129=21,D96,IF(S129=22,D95,IF(S129=23,D94,IF(S129=24,D93,IF(S129=25,D92,IF(S129=26,D91,IF(S129=27,D90,IF(S129=28,D89,IF(S129=29,D88,IF(S129=30,D87,IF(S129=31,D86,IF(S129=32,D85,IF(S129=33,D84,IF(S129=34,D83,IF(S129=35,D82,IF(S129=36,D81,IF(S129=37,D80,IF(S129=38,D79,IF(S129=39,D78,IF(S129=40,D77,IF(S129=41,D76,0)))))))))))))))))))))))))))))</f>
        <v>0.39586232255898024</v>
      </c>
      <c r="D175" s="143">
        <f>SUM(B175:C175)</f>
        <v>0.39586232255898024</v>
      </c>
      <c r="N175" s="307">
        <f>N174+J97</f>
        <v>3.5437143030587688</v>
      </c>
      <c r="O175" s="388">
        <f>IF(F143&gt;((N175-N174)/2+N174),IF(F143&lt;((N176-N175)/2+N175),0.6,0),0)</f>
        <v>0</v>
      </c>
      <c r="P175" s="387">
        <f>IF(F144&gt;((N175-N174)/2+N174),IF(F144&lt;((N176-N175)/2+N175),0.6,0),0)</f>
        <v>0</v>
      </c>
      <c r="Q175" s="386">
        <f>IF(P175=0.6,J158,IF(Q174=J158,J158,0))</f>
        <v>0</v>
      </c>
      <c r="R175" s="392">
        <f>IF(F145-I18&gt;((N175-N174)/2+N174),IF(F145-I18&lt;((N176-N175)/2+N175),0.6,0),0)</f>
        <v>0</v>
      </c>
      <c r="S175" s="192">
        <f t="shared" si="12"/>
        <v>0</v>
      </c>
      <c r="T175" s="192">
        <f t="shared" si="15"/>
        <v>0</v>
      </c>
      <c r="U175" s="254">
        <f t="shared" si="21"/>
        <v>0</v>
      </c>
      <c r="W175" s="52">
        <f>IF(SUM(P133:P175)=0.6,IF(SUM(R133:R174)=0,IF(D175&gt;0,IF(P175=0.6,0,1),0),0),0)</f>
        <v>0</v>
      </c>
    </row>
    <row r="176" spans="1:26">
      <c r="A176" s="109">
        <v>430</v>
      </c>
      <c r="B176" s="130">
        <f t="shared" si="20"/>
        <v>0</v>
      </c>
      <c r="C176" s="140">
        <f>IF(S129=13,D105,IF(S129=14,D104,IF(S129=15,D103,IF(S129=16,D102,IF(S129=17,D101,IF(S129=18,D100,IF(S129=19,D99,IF(S129=20,D98,IF(S129=21,D97,IF(S129=22,D96,IF(S129=23,D95,IF(S129=24,D94,IF(S129=25,D93,IF(S129=26,D92,IF(S129=27,D91,IF(S129=28,D90,IF(S129=29,D89,IF(S129=30,D88,IF(S129=31,D87,IF(S129=32,D86,IF(S129=33,D85,IF(S129=34,D84,IF(S129=35,D83,IF(S129=36,D82,IF(S129=37,D81,IF(S129=38,D80,IF(S129=39,D79,IF(S129=40,D78,IF(S129=41,D77,IF(S129=42,D76,0))))))))))))))))))))))))))))))</f>
        <v>0.345682950833748</v>
      </c>
      <c r="D176" s="143">
        <f>SUM(B176:C176)</f>
        <v>0.345682950833748</v>
      </c>
      <c r="N176" s="307">
        <f>N175+J97</f>
        <v>3.5996196652343615</v>
      </c>
      <c r="O176" s="52">
        <f>IF(F143&gt;((N176-N175)/2+N175),IF(F143&lt;((N177-N176)/2+N176),0.6,0),0)</f>
        <v>0</v>
      </c>
      <c r="P176" s="387">
        <f>IF(F144&gt;((N176-N175)/2+N175),IF(F144&lt;((N177-N176)/2+N176),0.6,0),0)</f>
        <v>0</v>
      </c>
      <c r="Q176" s="386">
        <f>IF(P176=0.6,J158,IF(Q175=J158,J158,0))</f>
        <v>0</v>
      </c>
      <c r="R176" s="392">
        <f>IF(F145-I18&gt;((N176-N175)/2+N175),IF(F145-I18&lt;((N177-N176)/2+N176),0.6,0),0)</f>
        <v>0</v>
      </c>
      <c r="S176" s="192">
        <f t="shared" si="12"/>
        <v>0</v>
      </c>
      <c r="T176" s="192">
        <f t="shared" si="15"/>
        <v>0</v>
      </c>
      <c r="U176" s="254">
        <f t="shared" si="21"/>
        <v>0</v>
      </c>
      <c r="W176" s="52">
        <f>IF(SUM(P133:P176)=0.6,IF(SUM(R133:R175)=0,IF(D176&gt;0,IF(P176=0.6,0,1),0),0),0)</f>
        <v>0</v>
      </c>
    </row>
    <row r="177" spans="1:23">
      <c r="A177" s="109">
        <v>440</v>
      </c>
      <c r="B177" s="130">
        <f t="shared" si="20"/>
        <v>0</v>
      </c>
      <c r="C177" s="140">
        <f>IF(S129=13,D106,IF(S129=14,D105,IF(S129=15,D104,IF(S129=16,D103,IF(S129=17,D102,IF(S129=18,D101,IF(S129=19,D100,IF(S129=20,D99,IF(S129=21,D98,IF(S129=22,D97,IF(S129=23,D96,IF(S129=24,D95,IF(S129=25,D94,IF(S129=26,D93,IF(S129=27,D92,IF(S129=28,D91,IF(S129=29,D90,IF(S129=30,D89,IF(S129=31,D88,IF(S129=32,D87,IF(S129=33,D86,IF(S129=34,D85,IF(S129=35,D84,IF(S129=36,D83,IF(S129=37,D82,IF(S129=38,D81,IF(S129=39,D80,IF(S129=40,D79,IF(S129=41,D78,IF(S129=42,D77,IF(S129=43,D76,0)))))))))))))))))))))))))))))))</f>
        <v>0.2978913350828129</v>
      </c>
      <c r="D177" s="143">
        <f>SUM(B177:C177)</f>
        <v>0.2978913350828129</v>
      </c>
      <c r="N177" s="307">
        <f>N176+J97</f>
        <v>3.6555250274099542</v>
      </c>
      <c r="O177" s="52">
        <f>IF(F143&gt;((N177-N176)/2+N176),IF(F143&lt;((N178-N177)/2+N177),0.6,0),0)</f>
        <v>0</v>
      </c>
      <c r="P177" s="387">
        <f>IF(F144&gt;((N177-N176)/2+N176),IF(F144&lt;((N178-N177)/2+N177),0.6,0),0)</f>
        <v>0</v>
      </c>
      <c r="Q177" s="386">
        <f>IF(P177=0.6,J158,IF(Q176=J158,J158,0))</f>
        <v>0</v>
      </c>
      <c r="R177" s="392">
        <f>IF(F145-I18&gt;((N177-N176)/2+N176),IF(F145-I18&lt;((N178-N177)/2+N177),0.6,0),0)</f>
        <v>0</v>
      </c>
      <c r="S177" s="192">
        <f t="shared" si="12"/>
        <v>0</v>
      </c>
      <c r="T177" s="192">
        <f t="shared" si="15"/>
        <v>0</v>
      </c>
      <c r="U177" s="254">
        <f t="shared" si="21"/>
        <v>0</v>
      </c>
      <c r="W177" s="52">
        <f>IF(SUM(P133:P177)=0.6,IF(SUM(R133:R176)=0,IF(D177&gt;0,IF(P177=0.6,0,1),0),0),0)</f>
        <v>0</v>
      </c>
    </row>
    <row r="178" spans="1:23">
      <c r="A178" s="109">
        <v>450</v>
      </c>
      <c r="B178" s="131">
        <f t="shared" si="20"/>
        <v>0</v>
      </c>
      <c r="C178" s="140">
        <f>IF(S129=13,D107,IF(S129=14,D106,IF(S129=15,D105,IF(S129=16,D104,IF(S129=17,D103,IF(S129=18,D102,IF(S129=19,D101,IF(S129=20,D100,IF(S129=21,D99,IF(S129=22,D98,IF(S129=23,D97,IF(S129=24,D96,IF(S129=25,D95,IF(S129=26,D94,IF(S129=27,D93,IF(S129=28,D92,IF(S129=29,D91,IF(S129=30,D90,IF(S129=31,D89,IF(S129=32,D88,IF(S129=33,D87,IF(S129=34,D86,IF(S129=35,D85,IF(S129=36,D84,IF(S129=37,D83,IF(S129=38,D82,IF(S129=39,D81,IF(S129=40,D80,IF(S129=41,D79,IF(S129=42,D78,IF(S129=43,D77,IF(S129=44,D76,0))))))))))))))))))))))))))))))))</f>
        <v>0.25420899464583013</v>
      </c>
      <c r="D178" s="143">
        <f>SUM(B178:C178)</f>
        <v>0.25420899464583013</v>
      </c>
      <c r="N178" s="307">
        <f>N177+J97</f>
        <v>3.7114303895855469</v>
      </c>
      <c r="O178" s="52">
        <f>IF(F143&gt;((N178-N177)/2+N177),IF(F143&lt;((N179-N178)/2+N178),0.6,0),0)</f>
        <v>0</v>
      </c>
      <c r="P178" s="387">
        <f>IF(F144&gt;((N178-N177)/2+N177),IF(F144&lt;((N179-N178)/2+N178),0.6,0),0)</f>
        <v>0</v>
      </c>
      <c r="Q178" s="386">
        <f>IF(P178=0.6,J158,IF(Q177=J158,J158,0))</f>
        <v>0</v>
      </c>
      <c r="R178" s="392">
        <f>IF(F145-I18&gt;((N178-N177)/2+N177),IF(F145-I18&lt;((N179-N178)/2+N178),0.6,0),0)</f>
        <v>0</v>
      </c>
      <c r="S178" s="192">
        <f t="shared" si="12"/>
        <v>0</v>
      </c>
      <c r="T178" s="192">
        <f t="shared" si="15"/>
        <v>0</v>
      </c>
      <c r="U178" s="254">
        <f t="shared" si="21"/>
        <v>0</v>
      </c>
      <c r="W178" s="52">
        <f>IF(SUM(P133:P178)=0.6,IF(SUM(R133:R177)=0,IF(D178&gt;0,IF(P178=0.6,0,1),0),0),0)</f>
        <v>0</v>
      </c>
    </row>
    <row r="179" spans="1:23">
      <c r="A179" s="109">
        <v>460</v>
      </c>
      <c r="B179" s="130">
        <f t="shared" si="20"/>
        <v>0</v>
      </c>
      <c r="C179" s="140">
        <f>IF(S129=13,D108,IF(S129=14,D107,IF(S129=15,D106,IF(S129=16,D105,IF(S129=17,D104,IF(S129=18,D103,IF(S129=19,D102,IF(S129=20,D101,IF(S129=21,D100,IF(S129=22,D99,IF(S129=23,D98,IF(S129=24,D97,IF(S129=25,D96,IF(S129=26,D95,IF(S129=27,D94,IF(S129=28,D93,IF(S129=29,D92,IF(S129=30,D91,IF(S129=31,D90,IF(S129=32,D89,IF(S129=33,D88,IF(S129=34,D87,IF(S129=35,D86,IF(S129=36,D85,IF(S129=37,D84,IF(S129=38,D83,IF(S129=39,D82,IF(S129=40,D81,IF(S129=41,D80,IF(S129=42,D79,IF(S129=43,D78,IF(S129=44,D77,IF(S129=45,D76,0)))))))))))))))))))))))))))))))))</f>
        <v>0.21601286886400525</v>
      </c>
      <c r="D179" s="140">
        <f>SUM(B179:C179)</f>
        <v>0.21601286886400525</v>
      </c>
      <c r="N179" s="307">
        <f>N178+J97</f>
        <v>3.7673357517611397</v>
      </c>
      <c r="O179" s="52">
        <f>IF(F143&gt;((N179-N178)/2+N178),IF(F143&lt;((N180-N179)/2+N179),0.6,0),0)</f>
        <v>0</v>
      </c>
      <c r="P179" s="387">
        <f>IF(F144&gt;((N179-N178)/2+N178),IF(F144&lt;((N180-N179)/2+N179),0.6,0),0)</f>
        <v>0</v>
      </c>
      <c r="Q179" s="386">
        <f>IF(P179=0.6,J158,IF(Q178=J158,J158,0))</f>
        <v>0</v>
      </c>
      <c r="R179" s="392">
        <f>IF(F145-I18&gt;((N179-N178)/2+N178),IF(F145-I18&lt;((N180-N179)/2+N179),0.6,0),0)</f>
        <v>0</v>
      </c>
      <c r="S179" s="192">
        <f t="shared" si="12"/>
        <v>0</v>
      </c>
      <c r="T179" s="192">
        <f t="shared" si="15"/>
        <v>0</v>
      </c>
      <c r="U179" s="254">
        <f t="shared" si="21"/>
        <v>0</v>
      </c>
      <c r="W179" s="52">
        <f>IF(SUM(P133:P179)=0.6,IF(SUM(R133:R178)=0,IF(D179&gt;0,IF(P179=0.6,0,1),0),0),0)</f>
        <v>0</v>
      </c>
    </row>
    <row r="180" spans="1:23">
      <c r="B180" s="130">
        <f t="shared" si="20"/>
        <v>0</v>
      </c>
      <c r="C180" s="140">
        <f>IF(S129=13,D109,IF(S129=14,D108,IF(S129=15,D107,IF(S129=16,D106,IF(S129=17,D105,IF(S129=18,D104,IF(S129=19,D103,IF(S129=20,D102,IF(S129=21,D101,IF(S129=22,D100,IF(S129=23,D99,IF(S129=24,D98,IF(S129=25,D97,IF(S129=26,D96,IF(S129=27,D95,IF(S129=28,D94,IF(S129=29,D93,IF(S129=30,D92,IF(S129=31,D91,IF(S129=32,D90,IF(S129=33,D89,IF(S129=34,D88,IF(S129=35,D87,IF(S129=36,D86,IF(S129=37,D85,IF(S129=38,D84,IF(S129=39,D83,IF(S129=40,D82,IF(S129=41,D81,IF(S129=42,D80,IF(S129=43,D79,IF(S129=44,D78,IF(S129=45,D76,IF(S129=46,D75,0))))))))))))))))))))))))))))))))))</f>
        <v>0.18421985493170695</v>
      </c>
      <c r="D180" s="140">
        <f t="shared" ref="D180:D185" si="25">SUM(B180:C180)</f>
        <v>0.18421985493170695</v>
      </c>
      <c r="N180" s="307">
        <f>N179+J97</f>
        <v>3.8232411139367324</v>
      </c>
      <c r="O180" s="52">
        <f>IF(F143&gt;((N180-N179)/2+N179),IF(F143&lt;((N181-N180)/2+N180),0.6,0),0)</f>
        <v>0</v>
      </c>
      <c r="P180" s="387">
        <f>IF(F144&gt;((N180-N179)/2+N179),IF(F144&lt;((N181-N180)/2+N180),0.6,0),0)</f>
        <v>0</v>
      </c>
      <c r="Q180" s="386">
        <f>IF(P180=0.6,J158,IF(Q179=J158,J158,0))</f>
        <v>0</v>
      </c>
      <c r="R180" s="392">
        <f>IF(F145-I18&gt;((N180-N179)/2+N179),IF(F145-I18&lt;((N181-N180)/2+N180),0.6,0),0)</f>
        <v>0</v>
      </c>
      <c r="S180" s="192">
        <f t="shared" si="12"/>
        <v>0</v>
      </c>
      <c r="T180" s="192">
        <f t="shared" si="15"/>
        <v>0</v>
      </c>
      <c r="U180" s="254">
        <f t="shared" si="21"/>
        <v>0</v>
      </c>
      <c r="W180" s="52">
        <f>IF(SUM(P133:P180)=0.6,IF(SUM(R133:R179)=0,IF(D180&gt;0,IF(P180=0.6,0,1),0),0),0)</f>
        <v>0</v>
      </c>
    </row>
    <row r="181" spans="1:23">
      <c r="B181" s="130">
        <f t="shared" si="20"/>
        <v>0</v>
      </c>
      <c r="C181" s="140">
        <f>IF(S129=13,D110,IF(S129=14,D109,IF(S129=15,D108,IF(S129=16,D107,IF(S129=17,D106,IF(S129=18,D105,IF(S129=19,D104,IF(S129=20,D103,IF(S129=21,D102,IF(S129=22,D101,IF(S129=23,D100,IF(S129=24,D99,IF(S129=25,D98,IF(S129=26,D97,IF(S129=27,D96,IF(S129=28,D95,IF(S129=29,D94,IF(S129=30,D93,IF(S129=31,D92,IF(S129=32,D91,IF(S129=33,D90,IF(S129=34,D89,IF(S129=35,D88,IF(S129=36,D87,IF(S129=37,D86,IF(S129=38,D85,IF(S129=39,D84,IF(S129=40,D83,IF(S129=41,D82,IF(S129=42,D81,IF(S129=43,D80,IF(S129=44,D79,0))))))))))))))))))))))))))))))))</f>
        <v>0.149076575731167</v>
      </c>
      <c r="D181" s="140">
        <f t="shared" si="25"/>
        <v>0.149076575731167</v>
      </c>
      <c r="N181" s="307">
        <f>N180+J97</f>
        <v>3.8791464761123251</v>
      </c>
      <c r="O181" s="52">
        <f>IF(F143&gt;((N181-N180)/2+N180),IF(F143&lt;((N182-N181)/2+N181),0.6,0),0)</f>
        <v>0</v>
      </c>
      <c r="P181" s="387">
        <f>IF(F144&gt;((N181-N180)/2+N180),IF(F144&lt;((N182-N181)/2+N181),0.6,0),0)</f>
        <v>0</v>
      </c>
      <c r="Q181" s="386">
        <f>IF(P181=0.6,J158,IF(Q180=J158,J158,0))</f>
        <v>0</v>
      </c>
      <c r="R181" s="392">
        <f>IF(F145-I18&gt;((N181-N180)/2+N180),IF(F145-I18&lt;((N182-N181)/2+N181),0.6,0),0)</f>
        <v>0</v>
      </c>
      <c r="S181" s="192">
        <f t="shared" si="12"/>
        <v>0</v>
      </c>
      <c r="T181" s="192">
        <f t="shared" si="15"/>
        <v>0</v>
      </c>
      <c r="U181" s="254">
        <f t="shared" si="21"/>
        <v>0</v>
      </c>
      <c r="W181" s="52">
        <f>IF(SUM(P133:P181)=0.6,IF(SUM(R133:R180)=0,IF(D181&gt;0,IF(P181=0.6,0,1),0),0),0)</f>
        <v>0</v>
      </c>
    </row>
    <row r="182" spans="1:23">
      <c r="B182" s="130">
        <f t="shared" si="20"/>
        <v>0</v>
      </c>
      <c r="C182" s="140">
        <f>IF(S129=13,D111,IF(S129=14,D110,IF(S129=15,D109,IF(S129=16,D108,IF(S129=17,D107,IF(S129=18,D106,IF(S129=19,D105,IF(S129=20,D104,IF(S129=21,D103,IF(S129=22,D102,IF(S129=23,D101,IF(S129=24,D100,IF(S129=25,D99,IF(S129=26,D98,IF(S129=27,D97,IF(S129=28,D96,IF(S129=29,D95,IF(S129=30,D94,IF(S129=31,D93,IF(S129=32,D92,IF(S129=33,D91,IF(S129=34,D90,IF(S129=35,D89,IF(S129=36,D88,IF(S129=37,D87,IF(S129=38,D86,IF(S129=39,D85,IF(S129=40,D84,IF(S129=41,D83,IF(S129=42,D82,IF(S129=43,D81,IF(S129=44,D80,0))))))))))))))))))))))))))))))))</f>
        <v>0.11086203973912999</v>
      </c>
      <c r="D182" s="140">
        <f t="shared" si="25"/>
        <v>0.11086203973912999</v>
      </c>
      <c r="N182" s="307">
        <f>N181+J97</f>
        <v>3.9350518382879178</v>
      </c>
      <c r="O182">
        <v>0</v>
      </c>
      <c r="P182" s="387">
        <f>IF(F144&gt;((N182-N181)/2+N181),IF(F144&lt;((N183-N182)/2+N182),0.6,0),0)</f>
        <v>0</v>
      </c>
      <c r="Q182" s="386">
        <f>IF(P182=0.6,J158,IF(Q181=J158,J158,0))</f>
        <v>0</v>
      </c>
      <c r="R182" s="392">
        <f>IF(F145-I18&gt;((N182-N181)/2+N181),IF(F145-I18&lt;((N183-N182)/2+N182),0.6,0),0)</f>
        <v>0</v>
      </c>
      <c r="S182" s="192">
        <f t="shared" si="12"/>
        <v>0</v>
      </c>
      <c r="T182" s="192">
        <f t="shared" si="15"/>
        <v>0</v>
      </c>
      <c r="U182" s="254">
        <f t="shared" si="21"/>
        <v>0</v>
      </c>
      <c r="W182" s="52">
        <f>IF(SUM(P133:P182)=0.6,IF(SUM(R133:R181)=0,IF(D182&gt;0,IF(P182=0.6,0,1),0),0),0)</f>
        <v>0</v>
      </c>
    </row>
    <row r="183" spans="1:23">
      <c r="B183" s="130">
        <f t="shared" si="20"/>
        <v>0</v>
      </c>
      <c r="C183" s="140">
        <f>IF(S129=13,D112,IF(S129=14,D111,IF(S129=15,D110,IF(S129=16,D109,IF(S129=17,D108,IF(S129=18,D107,IF(S129=19,D106,IF(S129=20,D105,IF(S129=21,D104,IF(S129=22,D103,IF(S129=23,D102,IF(S129=24,D101,IF(S129=25,D100,IF(S129=26,D99,IF(S129=27,D98,IF(S129=28,D97,IF(S129=29,D96,IF(S129=30,D95,IF(S129=31,D94,IF(S129=32,D93,IF(S129=33,D92,IF(S129=34,D91,IF(S129=35,D90,IF(S129=36,D89,IF(S129=37,D88,IF(S129=38,D87,IF(S129=39,D86,IF(S129=40,D85,IF(S129=41,D84,IF(S129=42,D83,IF(S129=43,D82,IF(S129=44,D81,0))))))))))))))))))))))))))))))))</f>
        <v>7.1164736271263962E-2</v>
      </c>
      <c r="D183" s="140">
        <f t="shared" si="25"/>
        <v>7.1164736271263962E-2</v>
      </c>
      <c r="N183" s="307">
        <f>N182+J97</f>
        <v>3.9909572004635105</v>
      </c>
      <c r="O183">
        <v>0</v>
      </c>
      <c r="P183" s="387">
        <f>IF(F144&gt;((N183-N182)/2+N182),IF(F144&lt;((N184-N183)/2+N183),0.6,0),0)</f>
        <v>0</v>
      </c>
      <c r="Q183" s="386">
        <f>IF(P183=0.6,J158,IF(Q182=J158,J158,0))</f>
        <v>0</v>
      </c>
      <c r="R183" s="392">
        <f>IF(F145-I18&gt;((N183-N182)/2+N182),IF(F145-I18&lt;((N184-N183)/2+N183),0.6,0),0)</f>
        <v>0</v>
      </c>
      <c r="S183" s="192">
        <f t="shared" si="12"/>
        <v>0</v>
      </c>
      <c r="T183" s="254">
        <f t="shared" si="15"/>
        <v>0</v>
      </c>
      <c r="U183" s="594">
        <f t="shared" ref="U183:U208" si="26">IF(U182=0,0,IF(P183=0.6,0,D183))</f>
        <v>0</v>
      </c>
      <c r="W183" s="52">
        <f>IF(SUM(P133:P183)=0.6,IF(SUM(R133:R182)=0,IF(D183&gt;0,IF(P183=0.6,0,1),0),0),0)</f>
        <v>0</v>
      </c>
    </row>
    <row r="184" spans="1:23">
      <c r="B184" s="130">
        <f t="shared" si="20"/>
        <v>0</v>
      </c>
      <c r="C184" s="140">
        <f>IF(S129=13,D113,IF(S129=14,D112,IF(S129=15,D111,IF(S129=16,D110,IF(S129=17,D109,IF(S129=18,D108,IF(S129=19,D107,IF(S129=20,D106,IF(S129=21,D105,IF(S129=22,D104,IF(S129=23,D103,IF(S129=24,D102,IF(S129=25,D101,IF(S129=26,D100,IF(S129=27,D99,IF(S129=28,D98,IF(S129=29,D97,IF(S129=30,D96,IF(S129=31,D95,IF(S129=32,D94,IF(S129=33,D93,IF(S129=34,D92,IF(S129=35,D91,IF(S129=36,D90,IF(S129=37,D89,IF(S129=38,D88,IF(S129=39,D87,IF(S129=40,D86,IF(S129=41,D85,IF(S129=42,D84,IF(S129=43,D83,IF(S129=44,D82,0))))))))))))))))))))))))))))))))</f>
        <v>3.2534943694403046E-2</v>
      </c>
      <c r="D184" s="140">
        <f t="shared" si="25"/>
        <v>3.2534943694403046E-2</v>
      </c>
      <c r="N184" s="307">
        <f>N183+J97</f>
        <v>4.0468625626391033</v>
      </c>
      <c r="O184">
        <v>0</v>
      </c>
      <c r="P184" s="387">
        <f>IF(F144&gt;((N184-N183)/2+N183),IF(F144&lt;((N185-N184)/2+N184),0.6,0),0)</f>
        <v>0</v>
      </c>
      <c r="Q184" s="386">
        <f>IF(P184=0.6,J158,IF(Q183=J158,J158,0))</f>
        <v>0</v>
      </c>
      <c r="R184" s="392">
        <f>IF(F145-I18&gt;((N184-N183)/2+N183),IF(F145-I18&lt;((N185-N184)/2+N184),0.6,0),0)</f>
        <v>0</v>
      </c>
      <c r="S184" s="192">
        <f t="shared" ref="S184:S191" si="27">IF((P184=0.6),D184,0)</f>
        <v>0</v>
      </c>
      <c r="T184" s="254">
        <f t="shared" si="15"/>
        <v>0</v>
      </c>
      <c r="U184" s="594">
        <f t="shared" si="26"/>
        <v>0</v>
      </c>
      <c r="W184" s="52">
        <f>IF(SUM(P133:P184)=0.6,IF(SUM(R133:R183)=0,IF(D184&gt;0,IF(P184=0.6,0,1),0),0),0)</f>
        <v>0</v>
      </c>
    </row>
    <row r="185" spans="1:23">
      <c r="B185" s="130">
        <f t="shared" si="20"/>
        <v>0</v>
      </c>
      <c r="C185" s="140">
        <f>IF(S129=13,D114,IF(S129=14,D113,IF(S129=15,D112,IF(S129=16,D111,IF(S129=17,D110,IF(S129=18,D109,IF(S129=19,D108,IF(S129=20,D107,IF(S129=21,D106,IF(S129=22,D105,IF(S129=23,D104,IF(S129=24,D103,IF(S129=25,D102,IF(S129=26,D101,IF(S129=27,D100,IF(S129=28,D99,IF(S129=29,D98,IF(S129=30,D97,IF(S129=31,D96,IF(S129=32,D95,IF(S129=33,D94,IF(S129=34,D93,IF(S129=35,D92,IF(S129=36,D91,IF(S129=37,D90,IF(S129=38,D89,IF(S129=39,D88,IF(S129=40,D87,IF(S129=41,D86,IF(S129=42,D85,IF(S129=43,D84,IF(S129=44,D83,0))))))))))))))))))))))))))))))))</f>
        <v>-2.5665748975233701E-3</v>
      </c>
      <c r="D185" s="140">
        <f t="shared" si="25"/>
        <v>-2.5665748975233701E-3</v>
      </c>
      <c r="N185" s="307">
        <f>N184+J97</f>
        <v>4.102767924814696</v>
      </c>
      <c r="P185" s="387">
        <f>IF(F144&gt;((N185-N184)/2+N184),IF(F144&lt;((N186-N185)/2+N185),0.6,0),0)</f>
        <v>0</v>
      </c>
      <c r="Q185" s="386">
        <f>IF(P185=0.6,J158,IF(Q184=J158,J158,0))</f>
        <v>0</v>
      </c>
      <c r="R185" s="388">
        <f>IF(F145-I18&gt;((N185-N184)/2+N184),IF(F145-I18&lt;((N186-N185)/2+N185),0.6,0),0)</f>
        <v>0</v>
      </c>
      <c r="S185" s="143">
        <f t="shared" si="27"/>
        <v>0</v>
      </c>
      <c r="T185" s="254">
        <f t="shared" si="15"/>
        <v>0</v>
      </c>
      <c r="U185" s="595">
        <f t="shared" si="26"/>
        <v>0</v>
      </c>
      <c r="W185" s="52">
        <f>IF(SUM(P133:P185)=0.6,IF(SUM(R133:R184)=0,IF(D185&gt;0,IF(P185=0.6,0,1),0),0),0)</f>
        <v>0</v>
      </c>
    </row>
    <row r="186" spans="1:23">
      <c r="B186" s="130">
        <f t="shared" si="20"/>
        <v>0</v>
      </c>
      <c r="C186" s="140">
        <f>IF(S129=13,D115,IF(S129=14,D114,IF(S129=15,D113,IF(S129=16,D112,IF(S129=17,D111,IF(S129=18,D110,IF(S129=19,D109,IF(S129=20,D108,IF(S129=21,D107,IF(S129=22,D106,IF(S129=23,D105,IF(S129=24,D104,IF(S129=25,D103,IF(S129=26,D102,IF(S129=27,D101,IF(S129=28,D100,IF(S129=29,D99,IF(S129=30,D98,IF(S129=31,D97,IF(S129=32,D96,IF(S129=33,D95,IF(S129=34,D94,IF(S129=35,D93,IF(S129=36,D92,IF(S129=37,D91,IF(S129=38,D90,IF(S129=39,D89,IF(S129=40,D88,IF(S129=41,D87,IF(S129=42,D86,IF(S129=43,D85,IF(S129=44,D84,0))))))))))))))))))))))))))))))))</f>
        <v>-3.1974917006767432E-2</v>
      </c>
      <c r="D186" s="140">
        <f t="shared" ref="D186:D194" si="28">SUM(B186:C186)</f>
        <v>-3.1974917006767432E-2</v>
      </c>
      <c r="N186" s="307">
        <f>N185+J97</f>
        <v>4.1586732869902887</v>
      </c>
      <c r="P186" s="387">
        <f>IF(F144&gt;((N186-N185)/2+N185),IF(F144&lt;((N187-N186)/2+N186),0.6,0),0)</f>
        <v>0</v>
      </c>
      <c r="Q186" s="386">
        <f>IF(P186=0.6,J158,IF(Q185=J158,J158,0))</f>
        <v>0</v>
      </c>
      <c r="R186" s="388">
        <f>IF(F145-I18&gt;((N186-N185)/2+N185),IF(F145-I18&lt;((N187-N186)/2+N186),0.6,0),0)</f>
        <v>0</v>
      </c>
      <c r="S186" s="143">
        <f t="shared" si="27"/>
        <v>0</v>
      </c>
      <c r="T186" s="254">
        <f t="shared" si="15"/>
        <v>0</v>
      </c>
      <c r="U186" s="595">
        <f t="shared" si="26"/>
        <v>0</v>
      </c>
      <c r="W186" s="52">
        <f>IF(SUM(P133:P186)=0.6,IF(SUM(R133:R185)=0,IF(D186&gt;0,IF(P186=0.6,0,1),0),0),0)</f>
        <v>0</v>
      </c>
    </row>
    <row r="187" spans="1:23">
      <c r="B187" s="190">
        <f t="shared" si="20"/>
        <v>0</v>
      </c>
      <c r="C187" s="140">
        <f>IF(S129=13,D116,IF(S129=14,D115,IF(S129=15,D114,IF(S129=16,D113,IF(S129=17,D112,IF(S129=18,D111,IF(S129=19,D110,IF(S129=20,D109,IF(S129=21,D108,IF(S129=22,D107,IF(S129=23,D106,IF(S129=24,D105,IF(S129=25,D104,IF(S129=26,D103,IF(S129=27,D102,IF(S129=28,D101,IF(S129=29,D100,IF(S129=30,D99,IF(S129=31,D98,IF(S129=32,D97,IF(S129=33,D96,IF(S129=34,D95,IF(S129=35,D94,IF(S129=36,D93,IF(S129=37,D92,IF(S129=38,D91,IF(S129=39,D90,IF(S129=40,D89,IF(S129=41,D88,IF(S129=42,D87,IF(S129=43,D86,IF(S129=44,D85,0))))))))))))))))))))))))))))))))</f>
        <v>-5.4002576901117677E-2</v>
      </c>
      <c r="D187" s="140">
        <f t="shared" si="28"/>
        <v>-5.4002576901117677E-2</v>
      </c>
      <c r="N187" s="307">
        <f>N186+J97</f>
        <v>4.2145786491658814</v>
      </c>
      <c r="P187" s="387">
        <f>IF(F144&gt;((N187-N186)/2+N186),IF(F144&lt;((N188-N187)/2+N187),0.6,0),0)</f>
        <v>0</v>
      </c>
      <c r="Q187" s="386">
        <f>IF(P187=0.6,J158,IF(Q186=J158,J158,0))</f>
        <v>0</v>
      </c>
      <c r="R187" s="388">
        <f>IF(F145-I18&gt;((N187-N186)/2+N186),IF(F145-I18&lt;((N188-N187)/2+N187),0.6,0),0)</f>
        <v>0</v>
      </c>
      <c r="S187" s="143">
        <f t="shared" si="27"/>
        <v>0</v>
      </c>
      <c r="T187" s="254">
        <f t="shared" si="15"/>
        <v>0</v>
      </c>
      <c r="U187" s="594">
        <f t="shared" si="26"/>
        <v>0</v>
      </c>
      <c r="W187" s="52">
        <f>IF(SUM(P133:P187)=0.6,IF(SUM(R133:R186)=0,IF(D187&gt;0,IF(P187=0.6,0,1),0),0),0)</f>
        <v>0</v>
      </c>
    </row>
    <row r="188" spans="1:23">
      <c r="B188" s="190">
        <f t="shared" si="20"/>
        <v>0</v>
      </c>
      <c r="C188" s="140">
        <f>IF(S129=13,D117,IF(S129=14,D116,IF(S129=15,D115,IF(S129=16,D114,IF(S129=17,D113,IF(S129=18,D112,IF(S129=19,D111,IF(S129=20,D110,IF(S129=21,D109,IF(S129=22,D108,IF(S129=23,D107,IF(S129=24,D106,IF(S129=25,D105,IF(S129=26,D104,IF(S129=27,D103,IF(S129=28,D102,IF(S129=29,D101,IF(S129=30,D100,IF(S129=31,D99,IF(S129=32,D98,IF(S129=33,D97,IF(S129=34,D96,IF(S129=35,D95,IF(S129=36,D94,IF(S129=37,D93,IF(S129=38,D92,IF(S129=39,D91,IF(S129=40,D90,IF(S129=41,D89,IF(S129=42,D88,IF(S129=43,D87,IF(S129=44,D86,0))))))))))))))))))))))))))))))))</f>
        <v>-6.7580950058883649E-2</v>
      </c>
      <c r="D188" s="140">
        <f t="shared" si="28"/>
        <v>-6.7580950058883649E-2</v>
      </c>
      <c r="N188" s="307">
        <f>N187+J97</f>
        <v>4.2704840113414742</v>
      </c>
      <c r="P188" s="387">
        <f>IF(F144&gt;((N188-N187)/2+N187),IF(F144&lt;((N189-N188)/2+N188),0.6,0),0)</f>
        <v>0</v>
      </c>
      <c r="Q188" s="386">
        <f>IF(P188=0.6,J158,IF(Q187=J158,J158,0))</f>
        <v>0</v>
      </c>
      <c r="R188" s="388">
        <f>IF(F145-I18&gt;((N188-N187)/2+N187),IF(F145-I18&lt;((N189-N188)/2+N188),0.6,0),0)</f>
        <v>0</v>
      </c>
      <c r="S188" s="143">
        <f t="shared" si="27"/>
        <v>0</v>
      </c>
      <c r="T188" s="254">
        <f t="shared" si="15"/>
        <v>0</v>
      </c>
      <c r="U188" s="594">
        <f t="shared" si="26"/>
        <v>0</v>
      </c>
      <c r="W188" s="52">
        <f>IF(SUM(P133:P188)=0.6,IF(SUM(R133:R187)=0,IF(D188&gt;0,IF(P188=0.6,0,1),0),0),0)</f>
        <v>0</v>
      </c>
    </row>
    <row r="189" spans="1:23">
      <c r="B189" s="190">
        <f t="shared" si="20"/>
        <v>0</v>
      </c>
      <c r="C189" s="140">
        <f>IF(S129=13,D118,IF(S129=14,D117,IF(S129=15,D116,IF(S129=16,D115,IF(S129=17,D114,IF(S129=18,D113,IF(S129=19,D112,IF(S129=20,D111,IF(S129=21,D110,IF(S129=22,D109,IF(S129=23,D108,IF(S129=24,D107,IF(S129=25,D106,IF(S129=26,D105,IF(S129=27,D104,IF(S129=28,D103,IF(S129=29,D102,IF(S129=30,D101,IF(S129=31,D100,IF(S129=32,D99,IF(S129=33,D98,IF(S129=34,D97,IF(S129=35,D96,IF(S129=36,D95,IF(S129=37,D94,IF(S129=38,D93,IF(S129=39,D92,IF(S129=40,D91,IF(S129=41,D90,IF(S129=42,D89,IF(S129=43,D88,IF(S129=44,D87,0))))))))))))))))))))))))))))))))</f>
        <v>-7.2349940147327901E-2</v>
      </c>
      <c r="D189" s="140">
        <f t="shared" si="28"/>
        <v>-7.2349940147327901E-2</v>
      </c>
      <c r="E189" s="625" t="s">
        <v>488</v>
      </c>
      <c r="F189" s="587">
        <f>(((F162+F163)/2)*2+(IF(F163&gt;0,F163*2,0)))*2</f>
        <v>2.6999999999999997</v>
      </c>
      <c r="G189" s="586">
        <f>(((G162+G163)/2)*2+(IF(G163&gt;0,G163*2,0)))*2</f>
        <v>3.26</v>
      </c>
      <c r="H189" s="586">
        <f>(((H162+H163)/2)*2+H163*2)*2</f>
        <v>3.56</v>
      </c>
      <c r="I189" s="586">
        <f>(((I162+I163)/2)*2+I163*2)*2</f>
        <v>4.04</v>
      </c>
      <c r="J189" s="586">
        <f>(((J162+J163)/2)*2+J163*2)*2</f>
        <v>3.6</v>
      </c>
      <c r="K189" s="586">
        <f>(((K162+K163)/2)*2+K163*2)*2</f>
        <v>1.94</v>
      </c>
      <c r="L189" s="586">
        <f>(((L162+L163)/2)*2+L163*2)*2</f>
        <v>0.48</v>
      </c>
      <c r="N189" s="307">
        <f>N188+J97</f>
        <v>4.3263893735170669</v>
      </c>
      <c r="P189" s="387">
        <f>IF(F144&gt;((N189-N188)/2+N188),IF(F144&lt;((N190-N189)/2+N189),0.6,0),0)</f>
        <v>0</v>
      </c>
      <c r="Q189" s="386">
        <f>IF(P189=0.6,J158,IF(Q188=J158,J158,0))</f>
        <v>0</v>
      </c>
      <c r="R189" s="388">
        <f>IF(F145-I18&gt;((N189-N188)/2+N188),IF(F145-I18&lt;((N190-N189)/2+N189),0.6,0),0)</f>
        <v>0</v>
      </c>
      <c r="S189" s="143">
        <f t="shared" si="27"/>
        <v>0</v>
      </c>
      <c r="T189" s="254">
        <f t="shared" si="15"/>
        <v>0</v>
      </c>
      <c r="U189" s="594">
        <f t="shared" si="26"/>
        <v>0</v>
      </c>
      <c r="W189" s="52">
        <f>IF(SUM(P133:P189)=0.6,IF(SUM(R133:R188)=0,IF(D189&gt;0,IF(P189=0.6,0,1),0),0),0)</f>
        <v>0</v>
      </c>
    </row>
    <row r="190" spans="1:23">
      <c r="B190" s="190">
        <f t="shared" si="20"/>
        <v>0</v>
      </c>
      <c r="C190" s="140">
        <f>IF(S129=13,D119,IF(S129=14,D118,IF(S129=15,D117,IF(S129=16,D116,IF(S129=17,D115,IF(S129=18,D114,IF(S129=19,D113,IF(S129=20,D112,IF(S129=21,D111,IF(S129=22,D110,IF(S129=23,D109,IF(S129=24,D108,IF(S129=25,D107,IF(S129=26,D106,IF(S129=27,D105,IF(S129=28,D104,IF(S129=29,D103,IF(S129=30,D102,IF(S129=31,D101,IF(S129=32,D100,IF(S129=33,D99,IF(S129=34,D98,IF(S129=35,D97,IF(S129=36,D96,IF(S129=37,D95,IF(S129=38,D94,IF(S129=39,D93,IF(S129=40,D92,IF(S129=41,D91,IF(S129=42,D90,IF(S129=43,D89,IF(S129=44,D88,0))))))))))))))))))))))))))))))))</f>
        <v>-6.8688154612957728E-2</v>
      </c>
      <c r="D190" s="254">
        <f t="shared" si="28"/>
        <v>-6.8688154612957728E-2</v>
      </c>
      <c r="E190" s="625" t="s">
        <v>489</v>
      </c>
      <c r="F190" s="587">
        <f>(F162*0.5+F165*2+F166*2)*(-2.6)</f>
        <v>-0.72019999999999995</v>
      </c>
      <c r="G190" s="587">
        <f>(G162*0.5+G165*2+G166*2)*(-2.6)</f>
        <v>-0.12999999999999989</v>
      </c>
      <c r="H190" s="587">
        <f>(H162*0.5+H165*2+H166*2)*(-2.6)</f>
        <v>0.60839999999999994</v>
      </c>
      <c r="I190" s="587">
        <f>(I162*0.5+I165*2+I166*2)*(-2.6)</f>
        <v>1.04</v>
      </c>
      <c r="J190" s="587">
        <f>(J162*0.5+J165*2+J166*2)*(-2.6)</f>
        <v>1.2558</v>
      </c>
      <c r="K190" s="587">
        <f>(K162*0.5+K165*2+K166*2)*(-2.6)</f>
        <v>1.2532000000000001</v>
      </c>
      <c r="L190" s="587">
        <f>(L162*0.5+L165*2+L166*2)*(-2.6)</f>
        <v>1.1882000000000001</v>
      </c>
      <c r="N190" s="307">
        <f>N189+J97</f>
        <v>4.3822947356926596</v>
      </c>
      <c r="P190" s="387">
        <f>IF(F144&gt;((N190-N189)/2+N189),IF(F144&lt;((N191-N190)/2+N190),0.6,0),0)</f>
        <v>0</v>
      </c>
      <c r="Q190" s="386">
        <f>IF(P190=0.6,J158,IF(Q189=J158,J158,0))</f>
        <v>0</v>
      </c>
      <c r="R190" s="388">
        <f>IF(F145-I18&gt;((N190-N189)/2+N189),IF(F145-I18&lt;((N191-N190)/2+N190),0.6,0),0)</f>
        <v>0</v>
      </c>
      <c r="S190" s="143">
        <f t="shared" si="27"/>
        <v>0</v>
      </c>
      <c r="T190" s="254">
        <f t="shared" si="15"/>
        <v>0</v>
      </c>
      <c r="U190" s="594">
        <f t="shared" si="26"/>
        <v>0</v>
      </c>
      <c r="W190" s="52">
        <f>IF(SUM(P133:P190)=0.6,IF(SUM(R133:R189)=0,IF(D190&gt;0,IF(P190=0.6,0,1),0),0),0)</f>
        <v>0</v>
      </c>
    </row>
    <row r="191" spans="1:23">
      <c r="B191" s="254">
        <f t="shared" si="20"/>
        <v>0</v>
      </c>
      <c r="C191" s="140">
        <f>IF(S129=13,D120,IF(S129=14,D119,IF(S129=15,D118,IF(S129=16,D117,IF(S129=17,D116,IF(S129=18,D115,IF(S129=19,D114,IF(S129=20,D113,IF(S129=21,D112,IF(S129=22,D111,IF(S129=23,D110,IF(S129=24,D109,IF(S129=25,D108,IF(S129=26,D107,IF(S129=27,D106,IF(S129=28,D105,IF(S129=29,D104,IF(S129=30,D103,IF(S129=31,D102,IF(S129=32,D101,IF(S129=33,D100,IF(S129=34,D99,IF(S129=35,D98,IF(S129=36,D97,IF(S129=37,D96,IF(S129=38,D95,IF(S129=39,D94,IF(S129=40,D93,IF(S129=41,D92,IF(S129=42,D91,IF(S129=43,D90,IF(S129=44,D89,0))))))))))))))))))))))))))))))))</f>
        <v>-6.1500811435253912E-2</v>
      </c>
      <c r="D191" s="140">
        <f t="shared" si="28"/>
        <v>-6.1500811435253912E-2</v>
      </c>
      <c r="F191" s="34"/>
      <c r="G191" s="34"/>
      <c r="H191" s="34"/>
      <c r="I191" s="34"/>
      <c r="J191" s="34"/>
      <c r="K191" s="34"/>
      <c r="L191" s="34"/>
      <c r="N191" s="307">
        <f>N190+J97</f>
        <v>4.4382000978682523</v>
      </c>
      <c r="P191" s="387">
        <f>IF(F144&gt;((N191-N190)/2+N190),IF(F144&lt;((N192-N191)/2+N191),0.6,0),0)</f>
        <v>0</v>
      </c>
      <c r="Q191" s="386">
        <f>IF(P191=0.6,J158,IF(Q190=J158,J158,0))</f>
        <v>0</v>
      </c>
      <c r="R191" s="388">
        <f>IF(F145-I18&gt;((N191-N190)/2+N190),IF(F145-I18&lt;((N192-N191)/2+N191),0.6,0),0)</f>
        <v>0</v>
      </c>
      <c r="S191" s="143">
        <f t="shared" si="27"/>
        <v>0</v>
      </c>
      <c r="T191" s="254">
        <f>IF((R191=0.6),D191,0)</f>
        <v>0</v>
      </c>
      <c r="U191" s="594">
        <f t="shared" si="26"/>
        <v>0</v>
      </c>
      <c r="W191" s="52">
        <f>IF(SUM(P133:P191)=0.6,IF(SUM(R133:R190)=0,IF(D191&gt;0,IF(P191=0.6,0,1),0),0),0)</f>
        <v>0</v>
      </c>
    </row>
    <row r="192" spans="1:23" ht="14">
      <c r="B192" s="193">
        <v>0</v>
      </c>
      <c r="C192" s="254">
        <f>IF(S129=13,D121,IF(S129=14,D120,IF(S129=15,D119,IF(S129=16,D118,IF(S129=17,D117,IF(S129=18,D116,IF(S129=19,D115,IF(S129=20,D114,IF(S129=21,D113,IF(S129=22,D112,IF(S129=23,D111,IF(S129=24,D110,IF(S129=25,D109,IF(S129=26,D108,IF(S129=27,D107,IF(S129=28,D106,IF(S129=29,D105,IF(S129=30,D104,IF(S129=31,D103,IF(S129=32,D102,IF(S129=33,D101,IF(S129=34,D100,IF(S129=35,D99,IF(S129=36,D98,IF(S129=37,D97,IF(S129=38,D96,IF(S129=39,D95,IF(S129=40,D94,IF(S129=41,D93,IF(S129=42,D92,IF(S129=43,D91,IF(S129=44,D90,0))))))))))))))))))))))))))))))))</f>
        <v>-5.3184723873829949E-2</v>
      </c>
      <c r="D192" s="140">
        <f t="shared" si="28"/>
        <v>-5.3184723873829949E-2</v>
      </c>
      <c r="H192" s="639" t="s">
        <v>498</v>
      </c>
      <c r="I192" s="640" t="s">
        <v>499</v>
      </c>
      <c r="N192" s="307">
        <f>N191+J97</f>
        <v>4.494105460043845</v>
      </c>
      <c r="P192" s="387">
        <f>IF(F144&gt;((N192-N191)/2+N191),IF(F144&lt;((N193-N192)/2+N192),0.6,0),0)</f>
        <v>0</v>
      </c>
      <c r="Q192" s="386">
        <f>IF(P192=0.6,J158,IF(Q191=J158,J158,0))</f>
        <v>0</v>
      </c>
      <c r="R192" s="388">
        <f>IF(F145-I18&gt;((N192-N191)/2+N191),IF(F145-I18&lt;((N193-N192)/2+N192),0.6,0),0)</f>
        <v>0</v>
      </c>
      <c r="S192" s="254">
        <f t="shared" ref="S192:S197" si="29">IF((P192=0.6),D192,0)</f>
        <v>0</v>
      </c>
      <c r="T192" s="254">
        <f t="shared" si="15"/>
        <v>0</v>
      </c>
      <c r="U192" s="594">
        <f t="shared" si="26"/>
        <v>0</v>
      </c>
      <c r="W192" s="52">
        <f>IF(SUM(P133:P192)=0.6,IF(SUM(R133:R191)=0,IF(D192&gt;0,IF(P192=0.6,0,1),0),0),0)</f>
        <v>0</v>
      </c>
    </row>
    <row r="193" spans="2:23">
      <c r="B193" s="193">
        <v>0</v>
      </c>
      <c r="C193" s="254">
        <f>IF(S129=13,D122,IF(S129=14,D121,IF(S129=15,D120,IF(S129=16,D119,IF(S129=17,D118,IF(S129=18,D117,IF(S129=19,D116,IF(S129=20,D115,IF(S129=21,D114,IF(S129=22,D113,IF(S129=23,D112,IF(S129=24,D111,IF(S129=25,D110,IF(S129=26,D109,IF(S129=27,D108,IF(S129=28,D107,IF(S129=29,D106,IF(S129=30,D105,IF(S129=31,D104,IF(S129=32,D103,IF(S129=33,D102,IF(S129=34,D101,IF(S129=35,D100,IF(S129=36,D99,IF(S129=37,D98,IF(S129=38,D97,IF(S129=39,D96,IF(S129=40,D95,IF(S129=41,D94,IF(S129=42,D93,IF(S129=43,D92,IF(S129=44,D91,0))))))))))))))))))))))))))))))))</f>
        <v>-4.3961998382884088E-2</v>
      </c>
      <c r="D193" s="140">
        <f t="shared" si="28"/>
        <v>-4.3961998382884088E-2</v>
      </c>
      <c r="N193" s="307">
        <f>N192+J97</f>
        <v>4.5500108222194378</v>
      </c>
      <c r="P193" s="52">
        <f>IF(F144&gt;((N193-N192)/2+N192),IF(F144&lt;((N194-N193)/2+N193),0.6,0),0)</f>
        <v>0</v>
      </c>
      <c r="Q193" s="386">
        <f>IF(P193=0.6,J158,IF(Q192=J158,J158,0))</f>
        <v>0</v>
      </c>
      <c r="R193" s="388">
        <f>IF(F145-I18&gt;((N193-N192)/2+N192),IF(F145-I18&lt;((N194-N193)/2+N193),0.6,0),0)</f>
        <v>0</v>
      </c>
      <c r="S193" s="149">
        <f t="shared" si="29"/>
        <v>0</v>
      </c>
      <c r="T193" s="254">
        <f>IF((R193=0.6),D193,0)</f>
        <v>0</v>
      </c>
      <c r="U193" s="594">
        <f t="shared" si="26"/>
        <v>0</v>
      </c>
      <c r="W193" s="52">
        <f>IF(SUM(P133:P193)=0.6,IF(SUM(R133:R192)=0,IF(D193&gt;0,IF(P193=0.6,0,1),0),0),0)</f>
        <v>0</v>
      </c>
    </row>
    <row r="194" spans="2:23">
      <c r="B194" s="193">
        <v>0</v>
      </c>
      <c r="C194" s="254">
        <f>IF(S129=13,D123,IF(S129=14,D122,IF(S129=15,D121,IF(S129=16,D120,IF(S129=17,D119,IF(S129=18,D118,IF(S129=19,D117,IF(S129=20,D116,IF(S129=21,D115,IF(S129=22,D114,IF(S129=23,D113,IF(S129=24,D112,IF(S129=25,D111,IF(S129=26,D110,IF(S129=27,D109,IF(S129=28,D108,IF(S129=29,D107,IF(S129=30,D106,IF(S129=31,D105,IF(S129=32,D104,IF(S129=33,D103,IF(S129=34,D102,IF(S129=35,D101,IF(S129=36,D100,IF(S129=37,D99,IF(S129=38,D98,IF(S129=39,D97,IF(S129=40,D96,IF(S129=41,D95,IF(S129=42,D94,IF(S129=43,D93,IF(S129=44,D92,0))))))))))))))))))))))))))))))))</f>
        <v>-3.4791351644904482E-2</v>
      </c>
      <c r="D194" s="140">
        <f t="shared" si="28"/>
        <v>-3.4791351644904482E-2</v>
      </c>
      <c r="N194" s="307">
        <f>N193+J97</f>
        <v>4.6059161843950305</v>
      </c>
      <c r="P194" s="52">
        <f>IF(F144&gt;((N194-N193)/2+N193),IF(F144&lt;((N195-N194)/2+N194),0.6,0),0)</f>
        <v>0</v>
      </c>
      <c r="Q194" s="386">
        <f>IF(P194=0.6,J158,IF(Q193=J158,J158,0))</f>
        <v>0</v>
      </c>
      <c r="R194" s="388">
        <f>IF(F145-I18&gt;((N194-N193)/2+N193),IF(F145-I18&lt;((N195-N194)/2+N194),0.6,0),0)</f>
        <v>0</v>
      </c>
      <c r="S194" s="143">
        <f t="shared" si="29"/>
        <v>0</v>
      </c>
      <c r="T194" s="254">
        <f t="shared" si="15"/>
        <v>0</v>
      </c>
      <c r="U194" s="594">
        <f t="shared" si="26"/>
        <v>0</v>
      </c>
      <c r="W194" s="52">
        <f>IF(SUM(P133:P194)=0.6,IF(SUM(R133:R193)=0,IF(D194&gt;0,IF(P194=0.6,0,1),0),0),0)</f>
        <v>0</v>
      </c>
    </row>
    <row r="195" spans="2:23">
      <c r="B195" s="193">
        <v>0</v>
      </c>
      <c r="C195" s="254">
        <f>IF(S129=13,D124,IF(S129=14,D123,IF(S129=15,D122,IF(S129=16,D121,IF(S129=17,D120,IF(S129=18,D119,IF(S129=19,D118,IF(S129=20,D117,IF(S129=21,D116,IF(S129=22,D115,IF(S129=23,D114,IF(S129=24,D113,IF(S129=25,D112,IF(S129=26,D111,IF(S129=27,D110,IF(S129=28,D109,IF(S129=29,D108,IF(S129=30,D107,IF(S129=31,D106,IF(S129=32,D105,IF(S129=33,D104,IF(S129=34,D103,IF(S129=35,D102,IF(S129=36,D101,IF(S129=37,D100,IF(S129=38,D99,IF(S129=39,D98,IF(S129=40,D97,IF(S129=41,D96,IF(S129=42,D95,IF(S129=43,D94,IF(S129=44,D93,0))))))))))))))))))))))))))))))))</f>
        <v>-2.5929987133809149E-2</v>
      </c>
      <c r="D195" s="143">
        <f>SUM(B195:C195)</f>
        <v>-2.5929987133809149E-2</v>
      </c>
      <c r="N195" s="307">
        <f>N194+J97</f>
        <v>4.6618215465706232</v>
      </c>
      <c r="P195" s="52">
        <f>IF(F144&gt;((N195-N194)/2+N194),IF(F144&lt;((N196-N195)/2+N195),0.6,0),0)</f>
        <v>0</v>
      </c>
      <c r="Q195" s="386">
        <f>IF(P195=0.6,J158,IF(Q194=J158,J158,0))</f>
        <v>0</v>
      </c>
      <c r="R195" s="388">
        <f>IF(F145-I18&gt;((N195-N194)/2+N194),IF(F145-I18&lt;((N196-N195)/2+N195),0.6,0),0)</f>
        <v>0</v>
      </c>
      <c r="S195" s="149">
        <f t="shared" si="29"/>
        <v>0</v>
      </c>
      <c r="T195" s="254">
        <f t="shared" si="15"/>
        <v>0</v>
      </c>
      <c r="U195" s="594">
        <f t="shared" si="26"/>
        <v>0</v>
      </c>
      <c r="W195" s="52">
        <f>IF(SUM(P133:P195)=0.6,IF(SUM(R133:R194)=0,IF(D195&gt;0,IF(P195=0.6,0,1),0),0),0)</f>
        <v>0</v>
      </c>
    </row>
    <row r="196" spans="2:23">
      <c r="B196" s="193">
        <v>0</v>
      </c>
      <c r="C196" s="254">
        <f>IF(S129=13,D125,IF(S129=14,D124,IF(S129=15,D123,IF(S129=16,D122,IF(S129=17,D121,IF(S129=18,D120,IF(S129=19,D119,IF(S129=20,D118,IF(S129=21,D117,IF(S129=22,D116,IF(S129=23,D115,IF(S129=24,D114,IF(S129=25,D113,IF(S129=26,D112,IF(S129=27,D111,IF(S129=28,D110,IF(S129=29,D109,IF(S129=30,D108,IF(S129=31,D107,IF(S129=32,D106,IF(S129=33,D105,IF(S129=34,D104,IF(S129=35,D103,IF(S129=36,D102,IF(S129=37,D101,IF(S129=38,D100,IF(S129=39,D99,IF(S129=40,D98,IF(S129=41,D97,IF(S129=42,D96,IF(S129=43,D95,IF(S129=44,D94,0))))))))))))))))))))))))))))))))</f>
        <v>-1.7861923067910051E-2</v>
      </c>
      <c r="D196" s="143">
        <f>SUM(B196:C196)</f>
        <v>-1.7861923067910051E-2</v>
      </c>
      <c r="N196" s="307">
        <f>N195+J97</f>
        <v>4.7177269087462159</v>
      </c>
      <c r="P196" s="52">
        <f>IF(F144&gt;((N196-N195)/2+N195),IF(F144&lt;((N197-N196)/2+N196),0.6,0),0)</f>
        <v>0</v>
      </c>
      <c r="Q196" s="386">
        <f>IF(P196=0.6,J158,IF(Q195=J158,J158,0))</f>
        <v>0</v>
      </c>
      <c r="R196" s="388">
        <f>IF(F145-I18&gt;((N196-N195)/2+N195),IF(F145-I18&lt;((N197-N196)/2+N196),0.6,0),0)</f>
        <v>0</v>
      </c>
      <c r="S196" s="143">
        <f t="shared" si="29"/>
        <v>0</v>
      </c>
      <c r="T196" s="254">
        <f t="shared" si="15"/>
        <v>0</v>
      </c>
      <c r="U196" s="594">
        <f t="shared" si="26"/>
        <v>0</v>
      </c>
      <c r="W196" s="52">
        <f>IF(SUM(P133:P196)=0.6,IF(SUM(R133:R195)=0,IF(D196&gt;0,IF(P196=0.6,0,1),0),0),0)</f>
        <v>0</v>
      </c>
    </row>
    <row r="197" spans="2:23">
      <c r="B197" s="253"/>
      <c r="C197" s="190">
        <f>IF(S129=13,D126,IF(S129=14,D125,IF(S129=15,D124,IF(S129=16,D123,IF(S129=17,D122,IF(S129=18,D121,IF(S129=19,D120,IF(S129=20,D119,IF(S129=21,D118,IF(S129=22,D117,IF(S129=23,D116,IF(S129=24,D115,IF(S129=25,D114,IF(S129=26,D113,IF(S129=27,D112,IF(S129=28,D111,IF(S129=29,D110,IF(S129=30,D109,IF(S129=31,D108,IF(S129=32,D107,IF(S129=33,D106,IF(S129=34,D105,IF(S129=35,D104,IF(S129=36,D103,IF(S129=37,D102,IF(S129=38,D101,IF(S129=39,D100,IF(S129=40,D99,IF(S129=41,D98,IF(S129=42,D97,IF(S129=43,D96,IF(S129=44,D95,0))))))))))))))))))))))))))))))))</f>
        <v>-1.1004656090474485E-2</v>
      </c>
      <c r="D197" s="190">
        <f t="shared" ref="D197:D203" si="30">C197</f>
        <v>-1.1004656090474485E-2</v>
      </c>
      <c r="N197" s="307">
        <f>N196+J97</f>
        <v>4.7736322709218086</v>
      </c>
      <c r="P197" s="52">
        <f>IF(F144&gt;((N197-N196)/2+N196),IF(F144&lt;((N198-N197)/2+N197),0.6,0),0)</f>
        <v>0</v>
      </c>
      <c r="Q197" s="386">
        <f>IF(P197=0.6,J158,IF(Q196=J158,J158,0))</f>
        <v>0</v>
      </c>
      <c r="R197" s="388">
        <f>IF(F145-I18&gt;((N197-N196)/2+N196),IF(F145-I18&lt;((N198-N197)/2+N197),0.6,0),0)</f>
        <v>0</v>
      </c>
      <c r="S197" s="149">
        <f t="shared" si="29"/>
        <v>0</v>
      </c>
      <c r="T197" s="254">
        <f t="shared" ref="T197:T205" si="31">IF((R197=0.6),D197,0)</f>
        <v>0</v>
      </c>
      <c r="U197" s="594">
        <f t="shared" si="26"/>
        <v>0</v>
      </c>
      <c r="W197" s="52">
        <f>IF(SUM(P133:P197)=0.6,IF(SUM(R133:R196)=0,IF(D197&gt;0,IF(P197=0.6,0,1),0),0),0)</f>
        <v>0</v>
      </c>
    </row>
    <row r="198" spans="2:23">
      <c r="B198" s="253"/>
      <c r="C198" s="190">
        <f>IF(S129=13,D127,IF(S129=14,D126,IF(S129=15,D125,IF(S129=16,D124,IF(S129=17,D123,IF(S129=18,D122,IF(S129=19,D121,IF(S129=20,D120,IF(S129=21,D119,IF(S129=22,D118,IF(S129=23,D117,IF(S129=24,D116,IF(S129=25,D115,IF(S129=26,D114,IF(S129=27,D113,IF(S129=28,D112,IF(S129=29,D111,IF(S129=30,D110,IF(S129=31,D109,IF(S129=32,D108,IF(S129=33,D107,IF(S129=34,D106,IF(S129=35,D105,IF(S129=36,D104,IF(S129=37,D103,IF(S129=38,D102,IF(S129=39,D101,IF(S129=40,D100,IF(S129=41,D99,IF(S129=42,D98,IF(S129=43,D97,IF(S129=44,D96,0))))))))))))))))))))))))))))))))</f>
        <v>-5.6741524222522757E-3</v>
      </c>
      <c r="D198" s="190">
        <f t="shared" si="30"/>
        <v>-5.6741524222522757E-3</v>
      </c>
      <c r="N198" s="307">
        <f>N197+J97</f>
        <v>4.8295376330974014</v>
      </c>
      <c r="P198" s="52">
        <f>IF(F144&gt;((N198-N197)/2+N197),IF(F144&lt;((N199-N198)/2+N198),0.6,0),0)</f>
        <v>0</v>
      </c>
      <c r="Q198" s="386">
        <f>IF(P198=0.6,J158,IF(Q197=J158,J158,0))</f>
        <v>0</v>
      </c>
      <c r="R198" s="388">
        <f>IF(F145-I18&gt;((N198-N197)/2+N197),IF(F145-I18&lt;((N199-N198)/2+N198),0.6,0),0)</f>
        <v>0</v>
      </c>
      <c r="S198" s="143">
        <f t="shared" ref="S198:S208" si="32">IF((P198=0.6),D198,0)</f>
        <v>0</v>
      </c>
      <c r="T198" s="254">
        <f t="shared" si="31"/>
        <v>0</v>
      </c>
      <c r="U198" s="594">
        <f t="shared" si="26"/>
        <v>0</v>
      </c>
    </row>
    <row r="199" spans="2:23">
      <c r="B199" s="253"/>
      <c r="C199" s="190">
        <f>IF(S129=13,D128,IF(S129=14,D127,IF(S129=15,D126,IF(S129=16,D125,IF(S129=17,D124,IF(S129=18,D123,IF(S129=19,D122,IF(S129=20,D121,IF(S129=21,D120,IF(S129=22,D119,IF(S129=23,D118,IF(S129=24,D117,IF(S129=25,D116,IF(S129=26,D115,IF(S129=27,D114,IF(S129=28,D113,IF(S129=29,D112,IF(S129=30,D111,IF(S129=31,D110,IF(S129=32,D109,IF(S129=33,D108,IF(S129=34,D107,IF(S129=35,D106,IF(S129=36,D105,IF(S129=37,D104,IF(S129=38,D103,IF(S129=39,D102,IF(S129=40,D101,IF(S129=41,D100,IF(S129=42,D99,IF(S129=43,D98,IF(S129=44,D97,0))))))))))))))))))))))))))))))))</f>
        <v>-2.0583527664679731E-3</v>
      </c>
      <c r="D199" s="190">
        <f t="shared" si="30"/>
        <v>-2.0583527664679731E-3</v>
      </c>
      <c r="N199" s="307">
        <f>N198+J97</f>
        <v>4.8854429952729941</v>
      </c>
      <c r="P199" s="599">
        <f>IF(F144&gt;((N199-N198)/2+N198),IF(F144&lt;((N200-N199)/2+N199),0.6,0),0)</f>
        <v>0</v>
      </c>
      <c r="R199" s="52">
        <f>IF(F145-I18&gt;((N199-N198)/2+N198),IF(F145-I18&lt;((N200-N199)/2+N199),0.6,0),0)</f>
        <v>0</v>
      </c>
      <c r="S199" s="602">
        <f t="shared" si="32"/>
        <v>0</v>
      </c>
      <c r="T199" s="143">
        <f t="shared" si="31"/>
        <v>0</v>
      </c>
      <c r="U199" s="597">
        <f t="shared" si="26"/>
        <v>0</v>
      </c>
    </row>
    <row r="200" spans="2:23">
      <c r="B200" s="253"/>
      <c r="C200" s="190">
        <f>IF(S129=13,D129,IF(S129=14,D128,IF(S129=15,D127,IF(S129=16,D126,IF(S129=17,D125,IF(S129=18,D124,IF(S129=19,D123,IF(S129=20,D122,IF(S129=21,D121,IF(S129=22,D120,IF(S129=23,D119,IF(S129=24,D118,IF(S129=25,D117,IF(S129=26,D116,IF(S129=27,D115,IF(S129=28,D114,IF(S129=29,D113,IF(S129=30,D112,IF(S129=31,D111,IF(S129=32,D110,IF(S129=33,D109,IF(S129=34,D108,IF(S129=35,D107,IF(S129=36,D106,IF(S129=37,D105,IF(S129=38,D104,IF(S129=39,D103,IF(S129=40,D102,IF(S129=41,D101,IF(S129=42,D100,IF(S129=43,D99,IF(S129=44,D98,0))))))))))))))))))))))))))))))))</f>
        <v>-2.0141269130243721E-4</v>
      </c>
      <c r="D200" s="190">
        <f t="shared" si="30"/>
        <v>-2.0141269130243721E-4</v>
      </c>
      <c r="N200" s="307">
        <f>N199+J97</f>
        <v>4.9413483574485868</v>
      </c>
      <c r="P200" s="599">
        <f>IF(F144&gt;((N200-N199)/2+N199),IF(F144&lt;((N201-N200)/2+N200),0.6,0),0)</f>
        <v>0</v>
      </c>
      <c r="R200" s="603">
        <f>IF(F145-I18&gt;((N200-N199)/2+N199),IF(F145-I18&lt;((N201-N200)/2+N200),0.6,0),0)</f>
        <v>0</v>
      </c>
      <c r="S200" s="595">
        <f t="shared" si="32"/>
        <v>0</v>
      </c>
      <c r="T200" s="604">
        <f t="shared" si="31"/>
        <v>0</v>
      </c>
      <c r="U200" s="594">
        <f t="shared" si="26"/>
        <v>0</v>
      </c>
    </row>
    <row r="201" spans="2:23">
      <c r="B201" s="253"/>
      <c r="C201" s="190">
        <f>IF(S129=14,D129,IF(S129=15,D128,IF(S129=16,D127,IF(S129=17,D126,IF(S129=18,D125,IF(S129=19,D124,IF(S129=20,D123,IF(S129=21,D122,IF(S129=22,D121,IF(S129=23,D120,IF(S129=24,D119,IF(S129=25,D118,IF(S129=26,D117,IF(S129=27,D116,IF(S129=28,D115,IF(S129=29,D114,IF(S129=30,D113,IF(S129=31,D112,IF(S129=32,D111,IF(S129=33,D110,IF(S129=34,D109,IF(S129=35,D108,IF(S129=36,D107,IF(S129=37,D106,IF(S129=38,D105,IF(S129=39,D104,IF(S129=40,D103,IF(S129=41,D102,IF(S129=42,D101,IF(S129=43,D100,IF(S129=44,D99,0)))))))))))))))))))))))))))))))</f>
        <v>0</v>
      </c>
      <c r="D201" s="190">
        <f t="shared" si="30"/>
        <v>0</v>
      </c>
      <c r="N201" s="307">
        <f>N200+J97</f>
        <v>4.9972537196241795</v>
      </c>
      <c r="P201" s="599">
        <f>IF(F144&gt;((N201-N200)/2+N200),IF(F144&lt;((N202-N201)/2+N201),0.6,0),0)</f>
        <v>0</v>
      </c>
      <c r="R201" s="603">
        <f>IF(F145-I18&gt;((N201-N200)/2+N200),IF(F145-I18&lt;((N202-N201)/2+N201),0.6,0),0)</f>
        <v>0</v>
      </c>
      <c r="S201" s="595">
        <f t="shared" si="32"/>
        <v>0</v>
      </c>
      <c r="T201" s="604">
        <f t="shared" si="31"/>
        <v>0</v>
      </c>
      <c r="U201" s="594">
        <f t="shared" si="26"/>
        <v>0</v>
      </c>
    </row>
    <row r="202" spans="2:23">
      <c r="B202" s="253"/>
      <c r="C202" s="190">
        <f>IF(S129=15,D129,IF(S129=16,D128,IF(S129=17,D127,IF(S129=18,D126,IF(S129=19,D125,IF(S129=20,D124,IF(S129=21,D123,IF(S129=22,D122,IF(S129=23,D121,IF(S129=24,D120,IF(S129=25,D119,IF(S129=26,D118,IF(S129=27,D117,IF(S129=28,D116,IF(S129=29,D115,IF(S129=30,D114,IF(S129=31,D113,IF(S129=32,D112,IF(S129=33,D111,IF(S129=34,D110,IF(S129=35,D109,IF(S129=36,D108,IF(S129=37,D107,IF(S129=38,D106,IF(S129=39,D105,IF(S129=40,D104,IF(S129=41,D103,IF(S129=42,D102,IF(S129=43,D101,IF(S129=44,D100,0))))))))))))))))))))))))))))))</f>
        <v>0</v>
      </c>
      <c r="D202" s="190">
        <f t="shared" si="30"/>
        <v>0</v>
      </c>
      <c r="N202" s="307">
        <f>N201+J97</f>
        <v>5.0531590817997722</v>
      </c>
      <c r="P202" s="599">
        <f>IF(F144&gt;((N202-N201)/2+N201),IF(F144&lt;((N203-N202)/2+N202),0.6,0),0)</f>
        <v>0</v>
      </c>
      <c r="R202" s="603">
        <f>IF(F145-I18&gt;((N202-N201)/2+N201),IF(F145-I18&lt;((N203-N202)/2+N202),0.6,0),0)</f>
        <v>0</v>
      </c>
      <c r="S202" s="595">
        <f t="shared" si="32"/>
        <v>0</v>
      </c>
      <c r="T202" s="605">
        <f t="shared" si="31"/>
        <v>0</v>
      </c>
      <c r="U202" s="597">
        <f t="shared" si="26"/>
        <v>0</v>
      </c>
    </row>
    <row r="203" spans="2:23">
      <c r="B203" s="253"/>
      <c r="C203" s="190">
        <f>IF(S129=17,D128,IF(S129=18,D127,IF(S129=19,D126,IF(S129=20,D125,IF(S129=21,D124,IF(S129=22,D123,IF(S129=23,D122,IF(S129=24,D121,IF(S129=25,D120,IF(S129=26,D119,IF(S129=27,D118,IF(S129=28,D117,IF(S129=29,D116,IF(S129=30,D115,IF(S129=31,D114,IF(S129=32,D113,IF(S129=33,D112,IF(S129=34,D111,IF(S129=35,D110,IF(S129=36,D109,IF(S129=37,D108,IF(S129=38,D107,IF(S129=39,D106,IF(S129=40,D105,IF(S129=41,D104,IF(S129=42,D103,IF(S129=43,D102,IF(S129=44,D101,0))))))))))))))))))))))))))))</f>
        <v>0</v>
      </c>
      <c r="D203" s="190">
        <f t="shared" si="30"/>
        <v>0</v>
      </c>
      <c r="N203" s="307">
        <f>N202+J97</f>
        <v>5.109064443975365</v>
      </c>
      <c r="P203" s="599">
        <f>IF(F144&gt;((N203-N202)/2+N202),IF(F144&lt;((N204-N203)/2+N203),0.6,0),0)</f>
        <v>0</v>
      </c>
      <c r="R203" s="603">
        <f>IF(F145-I18&gt;((N203-N202)/2+N202),IF(F145-I18&lt;((N204-N203)/2+N203),0.6,0),0)</f>
        <v>0</v>
      </c>
      <c r="S203" s="595">
        <f t="shared" si="32"/>
        <v>0</v>
      </c>
      <c r="T203" s="605">
        <f t="shared" si="31"/>
        <v>0</v>
      </c>
      <c r="U203" s="595">
        <f t="shared" si="26"/>
        <v>0</v>
      </c>
    </row>
    <row r="204" spans="2:23">
      <c r="B204" s="253"/>
      <c r="C204" s="190">
        <f>IF(S129=18,D128,IF(S129=19,D127,IF(S129=20,D126,IF(S129=21,D125,IF(S129=22,D124,IF(S129=23,D123,IF(S129=24,D122,IF(S129=25,D121,IF(S129=26,D120,IF(S129=27,D119,IF(S129=28,D118,IF(S129=29,D117,IF(S129=30,D116,IF(S129=31,D115,IF(S129=32,D114,IF(S129=33,D113,IF(S129=34,D112,IF(S129=35,D111,IF(S129=36,D110,IF(S129=37,D109,IF(S129=38,D108,IF(S129=39,D107,IF(S129=40,D106,IF(S129=41,D105,IF(S129=42,D104,IF(S129=43,D103,IF(S129=44,D102,0)))))))))))))))))))))))))))</f>
        <v>0</v>
      </c>
      <c r="D204" s="190">
        <f>C204</f>
        <v>0</v>
      </c>
      <c r="N204" s="307">
        <f>N203+J97</f>
        <v>5.1649698061509577</v>
      </c>
      <c r="P204" s="599">
        <f>IF(F144&gt;((N204-N203)/2+N203),IF(F144&lt;((N205-N204)/2+N204),0.6,0),0)</f>
        <v>0</v>
      </c>
      <c r="R204" s="603">
        <f>IF(F145-I18&gt;((N204-N203)/2+N203),IF(F145-I18&lt;((N205-N204)/2+N204),0.6,0),0)</f>
        <v>0</v>
      </c>
      <c r="S204" s="595">
        <f t="shared" si="32"/>
        <v>0</v>
      </c>
      <c r="T204" s="605">
        <f t="shared" si="31"/>
        <v>0</v>
      </c>
      <c r="U204" s="595">
        <f t="shared" si="26"/>
        <v>0</v>
      </c>
    </row>
    <row r="205" spans="2:23">
      <c r="B205" s="253"/>
      <c r="C205" s="190">
        <f>IF(S129=19,D128,IF(S129=20,D127,IF(S129=21,D126,IF(S129=22,D125,IF(S129=23,D124,IF(S129=24,D123,IF(S129=25,D122,IF(S129=26,D121,IF(S129=27,D120,IF(S129=28,D119,IF(S129=29,D118,IF(S129=30,D117,IF(S129=31,D116,IF(S129=32,D115,IF(S129=33,D114,IF(S129=34,D113,IF(S129=35,D112,IF(S129=36,D111,IF(S129=37,D110,IF(S129=38,D109,IF(S129=39,D108,IF(S129=40,D107,IF(S129=41,D106,IF(S129=42,D105,IF(S129=43,D104,IF(S129=44,D103,0))))))))))))))))))))))))))</f>
        <v>0</v>
      </c>
      <c r="D205" s="190">
        <f t="shared" ref="D205:D206" si="33">C205</f>
        <v>0</v>
      </c>
      <c r="N205" s="307">
        <f>N204+J97</f>
        <v>5.2208751683265504</v>
      </c>
      <c r="P205" s="599">
        <f>IF(F144&gt;((N205-N204)/2+N204),IF(F144&lt;((N206-N205)/2+N205),0.6,0),0)</f>
        <v>0</v>
      </c>
      <c r="R205" s="603">
        <f>IF(F145-I18&gt;((N205-N204)/2+N204),IF(F145-I18&lt;((N206-N205)/2+N205),0.6,0),0)</f>
        <v>0</v>
      </c>
      <c r="S205" s="595">
        <f t="shared" si="32"/>
        <v>0</v>
      </c>
      <c r="T205" s="605">
        <f t="shared" si="31"/>
        <v>0</v>
      </c>
      <c r="U205" s="599">
        <f t="shared" si="26"/>
        <v>0</v>
      </c>
    </row>
    <row r="206" spans="2:23">
      <c r="B206" s="253"/>
      <c r="C206" s="254">
        <f>IF(S129=20,D128,IF(S129=21,D127,IF(S129=22,D126,IF(S129=23,D125,IF(S129=24,D124,IF(S129=25,D123,IF(S129=26,D122,IF(S129=27,D121,IF(S129=28,D120,IF(S129=29,D119,IF(S129=30,D118,IF(S129=31,D117,IF(S129=32,D116,IF(S129=33,D115,IF(S129=34,D114,IF(S129=35,D113,IF(S129=36,D112,IF(S129=37,D111,IF(S129=38,D110,IF(S129=39,D109,IF(S129=40,D108,IF(S129=41,D107,IF(S129=42,D106,IF(S129=43,D105,IF(S129=44,D104,0)))))))))))))))))))))))))</f>
        <v>0</v>
      </c>
      <c r="D206" s="254">
        <f t="shared" si="33"/>
        <v>0</v>
      </c>
      <c r="N206" s="307">
        <f>N205+J97</f>
        <v>5.2767805305021431</v>
      </c>
      <c r="P206" s="599">
        <f>IF(F144&gt;((N206-N205)/2+N205),IF(F144&lt;((N207-N206)/2+N206),0.6,0),0)</f>
        <v>0</v>
      </c>
      <c r="R206" s="603">
        <f>IF(F145-I18&gt;((N206-N205)/2+N205),IF(F145-I18&lt;((N207-N206)/2+N206),0.6,0),0)</f>
        <v>0</v>
      </c>
      <c r="S206" s="595">
        <f t="shared" si="32"/>
        <v>0</v>
      </c>
      <c r="T206" s="605">
        <f>IF((R206=0.6),D206,0)</f>
        <v>0</v>
      </c>
      <c r="U206" s="599">
        <f t="shared" si="26"/>
        <v>0</v>
      </c>
    </row>
    <row r="207" spans="2:23">
      <c r="C207" s="254">
        <f>IF(S129=21,D128,IF(S129=22,D127,IF(S129=23,D126,IF(S129=24,D125,IF(S129=25,D124,IF(S129=26,D123,IF(S129=27,D122,IF(S129=28,D121,IF(S129=29,D120,IF(S129=30,D119,IF(S129=31,D118,IF(S129=32,D117,IF(S129=33,D116,IF(S129=34,D115,IF(S129=35,D114,IF(S129=36,D113,IF(S129=37,D112,IF(S129=38,D111,IF(S129=39,D110,IF(S129=40,D109,IF(S129=41,D108,IF(S129=42,D107,IF(S129=43,D106,IF(S129=44,D105,0))))))))))))))))))))))))</f>
        <v>0</v>
      </c>
      <c r="D207" s="254">
        <f>C207</f>
        <v>0</v>
      </c>
      <c r="N207" s="307">
        <f>N206+J97</f>
        <v>5.3326858926777359</v>
      </c>
      <c r="P207" s="599">
        <f>IF(F144&gt;((N207-N206)/2+N206),IF(F144&lt;((N208-N207)/2+N207),0.6,0),0)</f>
        <v>0</v>
      </c>
      <c r="R207" s="603">
        <f>IF(F145-I18&gt;((N207-N206)/2+N206),IF(F145-I18&lt;((N208-N207)/2+N207),0.6,0),0)</f>
        <v>0</v>
      </c>
      <c r="S207" s="595">
        <f t="shared" si="32"/>
        <v>0</v>
      </c>
      <c r="T207" s="606">
        <f>IF((R207=0.6),D207,0)</f>
        <v>0</v>
      </c>
      <c r="U207" s="599">
        <f t="shared" si="26"/>
        <v>0</v>
      </c>
    </row>
    <row r="208" spans="2:23">
      <c r="C208" s="595">
        <f>IF(S129=22,D128,IF(S129=23,D127,IF(S129=24,D126,IF(S129=25,D125,IF(S129=26,D124,IF(S129=27,D123,IF(S129=28,D122,IF(S129=29,D121,IF(S129=30,D120,IF(S129=31,D119,IF(S129=32,D118,IF(S129=33,D117,IF(S129=34,D116,IF(S129=35,D115,IF(S129=36,D114,IF(S129=37,D113,IF(S129=38,D112,IF(S129=39,D111,IF(S129=40,D110,IF(S129=41,D109,IF(S129=42,D108,IF(S129=43,D107,IF(S129=44,D106,0)))))))))))))))))))))))</f>
        <v>0</v>
      </c>
      <c r="D208" s="595">
        <f>C208</f>
        <v>0</v>
      </c>
      <c r="N208" s="547">
        <f>N207+J97</f>
        <v>5.3885912548533286</v>
      </c>
      <c r="P208" s="599">
        <f>IF(F144&gt;((N208-N207)/2+N207),IF(F144&lt;((N209-N208)/2+N208),0.6,0),0)</f>
        <v>0</v>
      </c>
      <c r="R208" s="3"/>
      <c r="S208" s="595">
        <f t="shared" si="32"/>
        <v>0</v>
      </c>
      <c r="T208" s="607">
        <f>SUM(T151:T207)</f>
        <v>0.39059803012845107</v>
      </c>
      <c r="U208" s="599">
        <f t="shared" si="26"/>
        <v>0</v>
      </c>
    </row>
    <row r="209" spans="3:21">
      <c r="C209" s="193"/>
      <c r="D209" s="193"/>
      <c r="N209" s="547">
        <f>N208+J97</f>
        <v>5.4444966170289213</v>
      </c>
      <c r="R209" s="3"/>
      <c r="S209" s="596">
        <f>SUM(S143:S208)</f>
        <v>-0.20491593263745952</v>
      </c>
      <c r="U209" s="598">
        <f>SUM(U133:U208)</f>
        <v>-3.2798368858422937</v>
      </c>
    </row>
    <row r="210" spans="3:21">
      <c r="C210" s="193"/>
      <c r="D210" s="193"/>
      <c r="N210" s="548">
        <f>N209+J97</f>
        <v>5.500401979204514</v>
      </c>
    </row>
    <row r="212" spans="3:21">
      <c r="E212" s="642" t="s">
        <v>488</v>
      </c>
      <c r="F212" s="641">
        <f>((F162+F163)/2)*3</f>
        <v>1.3649999999999998</v>
      </c>
      <c r="G212" s="641">
        <f>((G162+G163)/2)*3</f>
        <v>1.395</v>
      </c>
      <c r="H212" s="641">
        <f>((H162+H163)/2)*3</f>
        <v>1.17</v>
      </c>
      <c r="I212" s="641">
        <f>((I162+I163)/2)*3</f>
        <v>1.05</v>
      </c>
      <c r="J212" s="641">
        <f>((J162+J163)/2)*3</f>
        <v>0.75</v>
      </c>
      <c r="K212" s="641">
        <f>((K162+K163)/2)*3</f>
        <v>0.28500000000000003</v>
      </c>
      <c r="L212" s="641">
        <f>((L162+L163)/2)*3</f>
        <v>-0.09</v>
      </c>
    </row>
    <row r="213" spans="3:21">
      <c r="E213" s="642" t="s">
        <v>489</v>
      </c>
      <c r="F213" s="641">
        <f>(F165+F166)*(-1)</f>
        <v>3.4000000000000002E-2</v>
      </c>
      <c r="G213" s="641">
        <f>(G165+G166)*(-1)</f>
        <v>0.12000000000000001</v>
      </c>
      <c r="H213" s="641">
        <f>(H165+H166)*(-1)</f>
        <v>0.187</v>
      </c>
      <c r="I213" s="641">
        <f>(I165+I166)*(-1)</f>
        <v>0.21</v>
      </c>
      <c r="J213" s="641">
        <f>(J165+J166)*(-1)</f>
        <v>0.20399999999999999</v>
      </c>
      <c r="K213" s="641">
        <f>(K165+K166)*(-1)</f>
        <v>0.191</v>
      </c>
      <c r="L213" s="641">
        <f>(L165+L166)*(-1)</f>
        <v>0.17600000000000002</v>
      </c>
    </row>
    <row r="214" spans="3:21">
      <c r="E214" s="625" t="s">
        <v>490</v>
      </c>
      <c r="F214" s="641">
        <f>F212+F213</f>
        <v>1.3989999999999998</v>
      </c>
      <c r="G214" s="641">
        <f>G212+G213</f>
        <v>1.5150000000000001</v>
      </c>
      <c r="H214" s="641">
        <f>H212+H213</f>
        <v>1.357</v>
      </c>
      <c r="I214" s="641">
        <f>I212+I213</f>
        <v>1.26</v>
      </c>
      <c r="J214" s="641">
        <f>J212+J213</f>
        <v>0.95399999999999996</v>
      </c>
      <c r="K214" s="641">
        <f>K212+K213</f>
        <v>0.47600000000000003</v>
      </c>
      <c r="L214" s="641">
        <f>L212+L213</f>
        <v>8.6000000000000021E-2</v>
      </c>
    </row>
    <row r="215" spans="3:21">
      <c r="E215" s="625" t="s">
        <v>491</v>
      </c>
      <c r="F215" s="641">
        <f>F214*(F161/5252)</f>
        <v>1.9978103579588726</v>
      </c>
      <c r="G215" s="641">
        <f>G214*(F161/5252)</f>
        <v>2.1634615384615388</v>
      </c>
      <c r="H215" s="641">
        <f>H214*(F161/5252)</f>
        <v>1.937833206397563</v>
      </c>
      <c r="I215" s="641">
        <f>I214*(F161/5252)</f>
        <v>1.7993145468392995</v>
      </c>
      <c r="J215" s="641">
        <f>J214*(F161/5252)</f>
        <v>1.3623381568926123</v>
      </c>
      <c r="K215" s="641">
        <f>K214*(F161/5252)</f>
        <v>0.67974105102817983</v>
      </c>
      <c r="L215" s="641">
        <f>L214*(F161/5252)</f>
        <v>0.12281035795887285</v>
      </c>
    </row>
  </sheetData>
  <phoneticPr fontId="14" type="noConversion"/>
  <pageMargins left="0.75" right="0.75" top="1" bottom="1" header="0.5" footer="0.5"/>
  <ignoredErrors>
    <ignoredError sqref="W142:W150" formulaRang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3"/>
  <sheetViews>
    <sheetView showWhiteSpace="0" view="pageLayout" workbookViewId="0">
      <selection activeCell="H7" sqref="H7"/>
    </sheetView>
  </sheetViews>
  <sheetFormatPr baseColWidth="10" defaultRowHeight="13" x14ac:dyDescent="0"/>
  <cols>
    <col min="6" max="6" width="11.7109375" customWidth="1"/>
    <col min="7" max="7" width="12.85546875" customWidth="1"/>
    <col min="8" max="8" width="9.7109375" customWidth="1"/>
    <col min="9" max="9" width="11.140625" customWidth="1"/>
    <col min="10" max="10" width="7.85546875" customWidth="1"/>
    <col min="11" max="11" width="10.7109375" customWidth="1"/>
    <col min="12" max="12" width="9.140625" customWidth="1"/>
    <col min="13" max="13" width="8.42578125" customWidth="1"/>
    <col min="14" max="14" width="6.42578125" customWidth="1"/>
    <col min="15" max="15" width="7" customWidth="1"/>
  </cols>
  <sheetData>
    <row r="1" spans="2:15" ht="18">
      <c r="B1" s="231" t="s">
        <v>80</v>
      </c>
      <c r="C1" s="232" t="s">
        <v>78</v>
      </c>
      <c r="D1" s="233" t="s">
        <v>79</v>
      </c>
      <c r="G1" s="380" t="s">
        <v>82</v>
      </c>
      <c r="H1" s="380" t="s">
        <v>410</v>
      </c>
      <c r="I1" s="380" t="s">
        <v>249</v>
      </c>
      <c r="J1" s="235" t="s">
        <v>284</v>
      </c>
      <c r="K1" s="235" t="s">
        <v>409</v>
      </c>
      <c r="L1" s="235" t="s">
        <v>409</v>
      </c>
      <c r="M1" s="235" t="s">
        <v>418</v>
      </c>
      <c r="N1" s="235" t="s">
        <v>359</v>
      </c>
      <c r="O1" s="286"/>
    </row>
    <row r="2" spans="2:15">
      <c r="G2" s="381" t="s">
        <v>81</v>
      </c>
      <c r="H2" s="381" t="s">
        <v>300</v>
      </c>
      <c r="I2" s="381" t="s">
        <v>230</v>
      </c>
      <c r="J2" s="236" t="s">
        <v>467</v>
      </c>
      <c r="K2" s="236" t="s">
        <v>250</v>
      </c>
      <c r="L2" s="236" t="s">
        <v>243</v>
      </c>
      <c r="M2" s="236" t="s">
        <v>63</v>
      </c>
      <c r="N2" s="236" t="s">
        <v>283</v>
      </c>
      <c r="O2" s="287"/>
    </row>
    <row r="3" spans="2:15">
      <c r="G3" s="31">
        <v>51.5</v>
      </c>
      <c r="H3" s="532">
        <v>37.5</v>
      </c>
      <c r="I3" s="532">
        <v>4</v>
      </c>
      <c r="J3" s="218">
        <f t="shared" ref="J3:J8" si="0">((G3-H3)/2)/SIN(RADIANS(I3))</f>
        <v>100.34910918342572</v>
      </c>
      <c r="K3" s="223">
        <f t="shared" ref="K3:K8" si="1">((G3/2)/SIN(RADIANS(I3)))-J3</f>
        <v>268.79225674131897</v>
      </c>
      <c r="L3" s="223">
        <f t="shared" ref="L3:L8" si="2">J3+K3</f>
        <v>369.14136592474472</v>
      </c>
      <c r="M3" s="256">
        <f t="shared" ref="M3:M8" si="3">2*L3*SIN(RADIANS((360*(G3*3.14)/(6.28*L3))/2))</f>
        <v>160.50011326253221</v>
      </c>
      <c r="N3" s="234">
        <f t="shared" ref="N3:N8" si="4">360*(G3*3.14)/(6.28*L3)</f>
        <v>25.112330547885104</v>
      </c>
      <c r="O3" s="234"/>
    </row>
    <row r="4" spans="2:15">
      <c r="G4" s="532">
        <v>73.400000000000006</v>
      </c>
      <c r="H4" s="31">
        <v>51.5</v>
      </c>
      <c r="I4" s="31">
        <v>7.8</v>
      </c>
      <c r="J4" s="218">
        <f t="shared" si="0"/>
        <v>80.683445558913675</v>
      </c>
      <c r="K4" s="268">
        <f t="shared" si="1"/>
        <v>189.7350432093175</v>
      </c>
      <c r="L4" s="223">
        <f t="shared" si="2"/>
        <v>270.41848876823116</v>
      </c>
      <c r="M4" s="237">
        <f t="shared" si="3"/>
        <v>223.669722392523</v>
      </c>
      <c r="N4" s="237">
        <f t="shared" si="4"/>
        <v>48.857606076349583</v>
      </c>
      <c r="O4" s="237"/>
    </row>
    <row r="5" spans="2:15">
      <c r="G5" s="532">
        <v>92.3</v>
      </c>
      <c r="H5" s="31">
        <v>73.400000000000006</v>
      </c>
      <c r="I5" s="532">
        <v>13.2</v>
      </c>
      <c r="J5" s="218">
        <f t="shared" si="0"/>
        <v>41.383682906137622</v>
      </c>
      <c r="K5" s="268">
        <f t="shared" si="1"/>
        <v>160.71758334976209</v>
      </c>
      <c r="L5" s="223">
        <f t="shared" si="2"/>
        <v>202.1012662558997</v>
      </c>
      <c r="M5" s="238">
        <f t="shared" si="3"/>
        <v>265.72951978221664</v>
      </c>
      <c r="N5" s="238">
        <f t="shared" si="4"/>
        <v>82.206313239836049</v>
      </c>
      <c r="O5" s="238"/>
    </row>
    <row r="6" spans="2:15">
      <c r="G6" s="31">
        <v>92.3</v>
      </c>
      <c r="H6" s="532">
        <v>19.2</v>
      </c>
      <c r="I6" s="31">
        <v>9.9</v>
      </c>
      <c r="J6" s="218">
        <f t="shared" si="0"/>
        <v>212.58763025340667</v>
      </c>
      <c r="K6" s="268">
        <f t="shared" si="1"/>
        <v>55.836969916079482</v>
      </c>
      <c r="L6" s="223">
        <f t="shared" si="2"/>
        <v>268.42460016948615</v>
      </c>
      <c r="M6" s="239">
        <f t="shared" si="3"/>
        <v>276.07390524185621</v>
      </c>
      <c r="N6" s="239">
        <f t="shared" si="4"/>
        <v>61.89447610058744</v>
      </c>
      <c r="O6" s="239"/>
    </row>
    <row r="7" spans="2:15">
      <c r="G7" s="532"/>
      <c r="H7" s="532"/>
      <c r="I7" s="31"/>
      <c r="J7" s="218" t="e">
        <f t="shared" si="0"/>
        <v>#DIV/0!</v>
      </c>
      <c r="K7" s="268" t="e">
        <f t="shared" si="1"/>
        <v>#DIV/0!</v>
      </c>
      <c r="L7" s="223" t="e">
        <f t="shared" si="2"/>
        <v>#DIV/0!</v>
      </c>
      <c r="M7" s="240" t="e">
        <f t="shared" si="3"/>
        <v>#DIV/0!</v>
      </c>
      <c r="N7" s="240" t="e">
        <f t="shared" si="4"/>
        <v>#DIV/0!</v>
      </c>
      <c r="O7" s="240"/>
    </row>
    <row r="8" spans="2:15">
      <c r="G8" s="31"/>
      <c r="H8" s="31"/>
      <c r="I8" s="31"/>
      <c r="J8" s="218" t="e">
        <f t="shared" si="0"/>
        <v>#DIV/0!</v>
      </c>
      <c r="K8" s="268" t="e">
        <f t="shared" si="1"/>
        <v>#DIV/0!</v>
      </c>
      <c r="L8" s="223" t="e">
        <f t="shared" si="2"/>
        <v>#DIV/0!</v>
      </c>
      <c r="M8" s="240" t="e">
        <f t="shared" si="3"/>
        <v>#DIV/0!</v>
      </c>
      <c r="N8" s="240" t="e">
        <f t="shared" si="4"/>
        <v>#DIV/0!</v>
      </c>
      <c r="O8" s="240"/>
    </row>
    <row r="10" spans="2:15">
      <c r="G10" s="96" t="s">
        <v>342</v>
      </c>
      <c r="H10" s="257" t="s">
        <v>333</v>
      </c>
      <c r="I10" t="s">
        <v>167</v>
      </c>
      <c r="J10" s="257" t="s">
        <v>340</v>
      </c>
      <c r="K10" t="s">
        <v>341</v>
      </c>
    </row>
    <row r="11" spans="2:15" ht="14" thickBot="1"/>
    <row r="12" spans="2:15">
      <c r="G12" s="528" t="s">
        <v>299</v>
      </c>
      <c r="H12" s="275"/>
      <c r="I12" s="280" t="s">
        <v>358</v>
      </c>
      <c r="J12" s="281" t="s">
        <v>147</v>
      </c>
      <c r="K12" s="282" t="s">
        <v>137</v>
      </c>
      <c r="L12" s="276"/>
    </row>
    <row r="13" spans="2:15">
      <c r="G13" s="529" t="s">
        <v>1</v>
      </c>
      <c r="H13" s="31">
        <v>10000</v>
      </c>
      <c r="I13" s="273"/>
      <c r="J13" s="273"/>
      <c r="K13" s="404" t="s">
        <v>227</v>
      </c>
      <c r="L13" s="402" t="s">
        <v>228</v>
      </c>
    </row>
    <row r="14" spans="2:15">
      <c r="G14" s="405" t="s">
        <v>138</v>
      </c>
      <c r="H14" s="31">
        <v>2.06</v>
      </c>
      <c r="I14" s="8" t="s">
        <v>343</v>
      </c>
      <c r="J14" s="8"/>
      <c r="K14" s="31">
        <v>81</v>
      </c>
      <c r="L14" s="266">
        <f>K14*0.0254</f>
        <v>2.0573999999999999</v>
      </c>
    </row>
    <row r="15" spans="2:15">
      <c r="G15" s="277"/>
      <c r="H15" s="24"/>
      <c r="I15" s="36" t="s">
        <v>144</v>
      </c>
      <c r="J15" s="8" t="s">
        <v>145</v>
      </c>
      <c r="K15" s="8"/>
      <c r="L15" s="278"/>
    </row>
    <row r="16" spans="2:15">
      <c r="G16" s="283"/>
      <c r="H16" s="406" t="s">
        <v>23</v>
      </c>
      <c r="I16" s="284"/>
      <c r="J16" s="274"/>
      <c r="K16" s="274"/>
      <c r="L16" s="279"/>
    </row>
    <row r="17" spans="7:12">
      <c r="G17" s="283"/>
      <c r="H17" s="407" t="s">
        <v>24</v>
      </c>
      <c r="I17" s="354" t="s">
        <v>99</v>
      </c>
      <c r="J17" s="399"/>
      <c r="K17" s="408" t="s">
        <v>13</v>
      </c>
      <c r="L17" s="279"/>
    </row>
    <row r="18" spans="7:12">
      <c r="G18" s="283"/>
      <c r="H18" s="407" t="s">
        <v>22</v>
      </c>
      <c r="I18" s="354">
        <f>H13</f>
        <v>10000</v>
      </c>
      <c r="J18" s="400" t="s">
        <v>11</v>
      </c>
      <c r="K18" s="408" t="s">
        <v>14</v>
      </c>
      <c r="L18" s="402" t="s">
        <v>12</v>
      </c>
    </row>
    <row r="19" spans="7:12">
      <c r="G19" s="403" t="s">
        <v>109</v>
      </c>
      <c r="H19" s="404" t="s">
        <v>64</v>
      </c>
      <c r="I19" s="401" t="s">
        <v>326</v>
      </c>
      <c r="J19" s="399" t="s">
        <v>332</v>
      </c>
      <c r="K19" s="408">
        <f>H13</f>
        <v>10000</v>
      </c>
      <c r="L19" s="402" t="s">
        <v>229</v>
      </c>
    </row>
    <row r="20" spans="7:12">
      <c r="G20" s="269" t="s">
        <v>110</v>
      </c>
      <c r="H20" s="285">
        <v>25</v>
      </c>
      <c r="I20" s="268">
        <f>((H13/H20)*H14)*0.06</f>
        <v>49.44</v>
      </c>
      <c r="J20" s="268">
        <f t="shared" ref="J20:J25" si="5">I20*0.62</f>
        <v>30.652799999999999</v>
      </c>
      <c r="K20" s="258">
        <v>0</v>
      </c>
      <c r="L20" s="263">
        <f>H13</f>
        <v>10000</v>
      </c>
    </row>
    <row r="21" spans="7:12">
      <c r="G21" s="269" t="s">
        <v>111</v>
      </c>
      <c r="H21" s="532">
        <v>21</v>
      </c>
      <c r="I21" s="268">
        <f>((H13/H21)*H14)*0.06</f>
        <v>58.857142857142854</v>
      </c>
      <c r="J21" s="268">
        <f t="shared" si="5"/>
        <v>36.491428571428571</v>
      </c>
      <c r="K21" s="259">
        <f>(I20/I21)*H13</f>
        <v>8400</v>
      </c>
      <c r="L21" s="264">
        <f>H13-K21</f>
        <v>1600</v>
      </c>
    </row>
    <row r="22" spans="7:12">
      <c r="G22" s="269" t="s">
        <v>112</v>
      </c>
      <c r="H22" s="267">
        <v>17</v>
      </c>
      <c r="I22" s="268">
        <f>((H13/H22)*H14)*0.06</f>
        <v>72.705882352941174</v>
      </c>
      <c r="J22" s="268">
        <f t="shared" si="5"/>
        <v>45.07764705882353</v>
      </c>
      <c r="K22" s="259">
        <f>(J21/J22)*H13</f>
        <v>8095.2380952380954</v>
      </c>
      <c r="L22" s="264">
        <f>H13-K22</f>
        <v>1904.7619047619046</v>
      </c>
    </row>
    <row r="23" spans="7:12">
      <c r="G23" s="269" t="s">
        <v>113</v>
      </c>
      <c r="H23" s="31">
        <v>14</v>
      </c>
      <c r="I23" s="268">
        <f>((H13/H23)*H14)*0.06</f>
        <v>88.285714285714292</v>
      </c>
      <c r="J23" s="268">
        <f t="shared" si="5"/>
        <v>54.737142857142864</v>
      </c>
      <c r="K23" s="259">
        <f>(J22/J23)*H13</f>
        <v>8235.2941176470576</v>
      </c>
      <c r="L23" s="264">
        <f>H13-K23</f>
        <v>1764.7058823529424</v>
      </c>
    </row>
    <row r="24" spans="7:12">
      <c r="G24" s="269" t="s">
        <v>114</v>
      </c>
      <c r="H24" s="31">
        <v>11.2</v>
      </c>
      <c r="I24" s="268">
        <f>((H13/H24)*H14)*0.06</f>
        <v>110.35714285714286</v>
      </c>
      <c r="J24" s="268">
        <f t="shared" si="5"/>
        <v>68.421428571428578</v>
      </c>
      <c r="K24" s="259">
        <f>(J23/J24)*H13</f>
        <v>8000</v>
      </c>
      <c r="L24" s="264">
        <f>H13-K24</f>
        <v>2000</v>
      </c>
    </row>
    <row r="25" spans="7:12" ht="14" thickBot="1">
      <c r="G25" s="270" t="s">
        <v>157</v>
      </c>
      <c r="H25" s="260">
        <v>9</v>
      </c>
      <c r="I25" s="261">
        <f>((H13/H25)*H14)*0.06</f>
        <v>137.33333333333331</v>
      </c>
      <c r="J25" s="261">
        <f t="shared" si="5"/>
        <v>85.146666666666661</v>
      </c>
      <c r="K25" s="262">
        <f>(J24/J25)*H13</f>
        <v>8035.7142857142871</v>
      </c>
      <c r="L25" s="265">
        <f>H13-K25</f>
        <v>1964.2857142857129</v>
      </c>
    </row>
    <row r="29" spans="7:12">
      <c r="G29" s="378" t="s">
        <v>188</v>
      </c>
      <c r="H29" s="378" t="s">
        <v>186</v>
      </c>
      <c r="I29" s="329" t="s">
        <v>187</v>
      </c>
    </row>
    <row r="30" spans="7:12">
      <c r="G30" s="31">
        <v>0.16</v>
      </c>
      <c r="H30" s="31">
        <v>10000</v>
      </c>
      <c r="I30" s="330">
        <f>((G30*H30)/(60000))*360</f>
        <v>9.6000000000000014</v>
      </c>
    </row>
    <row r="32" spans="7:12">
      <c r="G32" s="379" t="s">
        <v>46</v>
      </c>
      <c r="H32" s="379" t="s">
        <v>186</v>
      </c>
      <c r="I32" s="314" t="s">
        <v>188</v>
      </c>
    </row>
    <row r="33" spans="7:9">
      <c r="G33" s="31">
        <v>33</v>
      </c>
      <c r="H33" s="31">
        <v>10000</v>
      </c>
      <c r="I33" s="369">
        <f>(G33*60000)/(360*H33)</f>
        <v>0.55000000000000004</v>
      </c>
    </row>
  </sheetData>
  <phoneticPr fontId="14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Forrest</dc:creator>
  <cp:lastModifiedBy>Rahim N</cp:lastModifiedBy>
  <dcterms:created xsi:type="dcterms:W3CDTF">2012-07-07T19:53:04Z</dcterms:created>
  <dcterms:modified xsi:type="dcterms:W3CDTF">2015-10-18T16:11:25Z</dcterms:modified>
</cp:coreProperties>
</file>