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-780" windowWidth="28800" windowHeight="1678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9" i="1" l="1"/>
  <c r="A18" i="1"/>
  <c r="B7" i="1"/>
  <c r="C18" i="1"/>
  <c r="A20" i="1"/>
  <c r="B22" i="1"/>
  <c r="B23" i="1"/>
  <c r="B24" i="1"/>
  <c r="C21" i="1"/>
  <c r="C22" i="1"/>
  <c r="C23" i="1"/>
  <c r="C24" i="1"/>
  <c r="D21" i="1"/>
  <c r="D22" i="1"/>
  <c r="D23" i="1"/>
  <c r="D24" i="1"/>
  <c r="E21" i="1"/>
  <c r="E22" i="1"/>
  <c r="E23" i="1"/>
  <c r="E24" i="1"/>
  <c r="F21" i="1"/>
  <c r="F22" i="1"/>
  <c r="F23" i="1"/>
  <c r="F24" i="1"/>
  <c r="G21" i="1"/>
  <c r="G22" i="1"/>
  <c r="G23" i="1"/>
  <c r="G24" i="1"/>
  <c r="H21" i="1"/>
  <c r="H22" i="1"/>
  <c r="H23" i="1"/>
  <c r="H24" i="1"/>
  <c r="I24" i="1"/>
  <c r="H25" i="1"/>
  <c r="H26" i="1"/>
  <c r="G25" i="1"/>
  <c r="G26" i="1"/>
  <c r="F25" i="1"/>
  <c r="F26" i="1"/>
  <c r="E25" i="1"/>
  <c r="E26" i="1"/>
  <c r="D25" i="1"/>
  <c r="D26" i="1"/>
  <c r="C25" i="1"/>
  <c r="C26" i="1"/>
  <c r="B25" i="1"/>
  <c r="B26" i="1"/>
  <c r="C6" i="1"/>
  <c r="A8" i="1"/>
  <c r="B10" i="1"/>
  <c r="H9" i="1"/>
  <c r="H10" i="1"/>
  <c r="H11" i="1"/>
  <c r="H12" i="1"/>
  <c r="B11" i="1"/>
  <c r="B12" i="1"/>
  <c r="C9" i="1"/>
  <c r="C10" i="1"/>
  <c r="C11" i="1"/>
  <c r="C12" i="1"/>
  <c r="D9" i="1"/>
  <c r="D10" i="1"/>
  <c r="D11" i="1"/>
  <c r="D12" i="1"/>
  <c r="E9" i="1"/>
  <c r="E10" i="1"/>
  <c r="E11" i="1"/>
  <c r="E12" i="1"/>
  <c r="F9" i="1"/>
  <c r="F10" i="1"/>
  <c r="F11" i="1"/>
  <c r="F12" i="1"/>
  <c r="G9" i="1"/>
  <c r="G10" i="1"/>
  <c r="G11" i="1"/>
  <c r="G12" i="1"/>
  <c r="I12" i="1"/>
  <c r="H13" i="1"/>
  <c r="H14" i="1"/>
  <c r="G13" i="1"/>
  <c r="G14" i="1"/>
  <c r="F13" i="1"/>
  <c r="F14" i="1"/>
  <c r="E13" i="1"/>
  <c r="E14" i="1"/>
  <c r="D13" i="1"/>
  <c r="D14" i="1"/>
  <c r="C13" i="1"/>
  <c r="C14" i="1"/>
  <c r="B13" i="1"/>
  <c r="B14" i="1"/>
</calcChain>
</file>

<file path=xl/sharedStrings.xml><?xml version="1.0" encoding="utf-8"?>
<sst xmlns="http://schemas.openxmlformats.org/spreadsheetml/2006/main" count="39" uniqueCount="23">
  <si>
    <t>outer zone</t>
  </si>
  <si>
    <t>zone 2</t>
  </si>
  <si>
    <t>Inner Zone 1</t>
  </si>
  <si>
    <t>zone 3</t>
  </si>
  <si>
    <t>zone 4</t>
  </si>
  <si>
    <t>zone 5</t>
  </si>
  <si>
    <t>zone 6</t>
  </si>
  <si>
    <t>Outer Zone 7</t>
  </si>
  <si>
    <t>Carb Size</t>
  </si>
  <si>
    <t>Carb Area</t>
  </si>
  <si>
    <t>Zone Speeds</t>
  </si>
  <si>
    <t>Zone Areas</t>
  </si>
  <si>
    <t>Volumes</t>
  </si>
  <si>
    <t>% Vol Total</t>
  </si>
  <si>
    <t>Speed x %</t>
  </si>
  <si>
    <t>Flow Ratio</t>
  </si>
  <si>
    <t>NOTES:</t>
  </si>
  <si>
    <t>flow ratio #1</t>
  </si>
  <si>
    <t>flow ratio #2</t>
  </si>
  <si>
    <t>Intake Tract Flow Analysis</t>
  </si>
  <si>
    <t>14mm carb .7 to .9 ratio</t>
  </si>
  <si>
    <t xml:space="preserve">My other 2 stroke spreadsheets: </t>
  </si>
  <si>
    <t>www.dragonfly75.com/moto/calculators.html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</si>
</sst>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9" x14ac:knownFonts="1">
    <font>
      <sz val="12"/>
      <color theme="1"/>
      <name val="Verdana"/>
      <family val="2"/>
    </font>
    <font>
      <b/>
      <sz val="12"/>
      <color theme="1"/>
      <name val="Verdana"/>
      <family val="2"/>
    </font>
    <font>
      <u/>
      <sz val="12"/>
      <color theme="10"/>
      <name val="Verdana"/>
      <family val="2"/>
    </font>
    <font>
      <u/>
      <sz val="12"/>
      <color theme="11"/>
      <name val="Verdana"/>
      <family val="2"/>
    </font>
    <font>
      <sz val="12"/>
      <color theme="0" tint="-0.34998626667073579"/>
      <name val="Verdana"/>
    </font>
    <font>
      <b/>
      <sz val="12"/>
      <color theme="3" tint="0.39997558519241921"/>
      <name val="Verdana"/>
    </font>
    <font>
      <b/>
      <sz val="12"/>
      <color rgb="FFFF0000"/>
      <name val="Verdana"/>
    </font>
    <font>
      <b/>
      <sz val="26"/>
      <color theme="1"/>
      <name val="Verdana"/>
    </font>
    <font>
      <sz val="8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6DEE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0" fontId="0" fillId="4" borderId="1" xfId="0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7" borderId="1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8" borderId="1" xfId="0" applyFill="1" applyBorder="1" applyAlignment="1">
      <alignment horizontal="right"/>
    </xf>
    <xf numFmtId="165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0" fillId="6" borderId="0" xfId="0" applyFill="1" applyAlignment="1">
      <alignment horizontal="right"/>
    </xf>
    <xf numFmtId="0" fontId="0" fillId="6" borderId="1" xfId="0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0" fillId="10" borderId="0" xfId="0" applyFill="1"/>
    <xf numFmtId="1" fontId="0" fillId="10" borderId="0" xfId="0" applyNumberFormat="1" applyFill="1" applyAlignment="1">
      <alignment horizontal="center"/>
    </xf>
    <xf numFmtId="2" fontId="0" fillId="10" borderId="0" xfId="0" applyNumberFormat="1" applyFill="1"/>
    <xf numFmtId="164" fontId="5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11" borderId="1" xfId="0" applyFill="1" applyBorder="1" applyAlignment="1" applyProtection="1">
      <alignment horizontal="center"/>
      <protection locked="0"/>
    </xf>
    <xf numFmtId="1" fontId="5" fillId="9" borderId="1" xfId="0" applyNumberFormat="1" applyFont="1" applyFill="1" applyBorder="1" applyAlignment="1">
      <alignment horizontal="center"/>
    </xf>
    <xf numFmtId="164" fontId="5" fillId="9" borderId="1" xfId="0" applyNumberFormat="1" applyFont="1" applyFill="1" applyBorder="1" applyAlignment="1">
      <alignment horizontal="center"/>
    </xf>
    <xf numFmtId="1" fontId="6" fillId="9" borderId="1" xfId="0" applyNumberFormat="1" applyFont="1" applyFill="1" applyBorder="1" applyAlignment="1">
      <alignment horizontal="center"/>
    </xf>
    <xf numFmtId="164" fontId="6" fillId="9" borderId="1" xfId="0" applyNumberFormat="1" applyFont="1" applyFill="1" applyBorder="1" applyAlignment="1">
      <alignment horizontal="center"/>
    </xf>
    <xf numFmtId="0" fontId="0" fillId="12" borderId="1" xfId="0" applyFill="1" applyBorder="1" applyAlignment="1" applyProtection="1">
      <alignment horizontal="center"/>
    </xf>
    <xf numFmtId="0" fontId="1" fillId="11" borderId="4" xfId="0" applyFont="1" applyFill="1" applyBorder="1"/>
    <xf numFmtId="0" fontId="1" fillId="11" borderId="5" xfId="0" applyFont="1" applyFill="1" applyBorder="1"/>
    <xf numFmtId="0" fontId="1" fillId="11" borderId="6" xfId="0" applyFont="1" applyFill="1" applyBorder="1"/>
    <xf numFmtId="0" fontId="7" fillId="9" borderId="7" xfId="0" applyFont="1" applyFill="1" applyBorder="1"/>
    <xf numFmtId="0" fontId="7" fillId="9" borderId="8" xfId="0" applyFont="1" applyFill="1" applyBorder="1"/>
    <xf numFmtId="0" fontId="7" fillId="9" borderId="9" xfId="0" applyFont="1" applyFill="1" applyBorder="1"/>
    <xf numFmtId="0" fontId="7" fillId="9" borderId="10" xfId="0" applyFont="1" applyFill="1" applyBorder="1"/>
    <xf numFmtId="0" fontId="7" fillId="9" borderId="11" xfId="0" applyFont="1" applyFill="1" applyBorder="1"/>
    <xf numFmtId="0" fontId="7" fillId="9" borderId="12" xfId="0" applyFont="1" applyFill="1" applyBorder="1"/>
    <xf numFmtId="0" fontId="0" fillId="0" borderId="0" xfId="0"/>
    <xf numFmtId="0" fontId="2" fillId="0" borderId="0" xfId="23"/>
  </cellXfs>
  <cellStyles count="2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% Volume #1</c:v>
          </c:tx>
          <c:marker>
            <c:symbol val="none"/>
          </c:marker>
          <c:cat>
            <c:numRef>
              <c:f>Sheet1!$B$15:$H$15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cat>
          <c:val>
            <c:numRef>
              <c:f>Sheet1!$B$13:$H$13</c:f>
              <c:numCache>
                <c:formatCode>0.0</c:formatCode>
                <c:ptCount val="7"/>
                <c:pt idx="0">
                  <c:v>5.213308377226133</c:v>
                </c:pt>
                <c:pt idx="1">
                  <c:v>12.46606299162313</c:v>
                </c:pt>
                <c:pt idx="2">
                  <c:v>16.53765683423674</c:v>
                </c:pt>
                <c:pt idx="3">
                  <c:v>18.70653648514318</c:v>
                </c:pt>
                <c:pt idx="4">
                  <c:v>18.07897145596364</c:v>
                </c:pt>
                <c:pt idx="5">
                  <c:v>15.82343358655676</c:v>
                </c:pt>
                <c:pt idx="6">
                  <c:v>13.17403026925044</c:v>
                </c:pt>
              </c:numCache>
            </c:numRef>
          </c:val>
          <c:smooth val="0"/>
        </c:ser>
        <c:ser>
          <c:idx val="1"/>
          <c:order val="1"/>
          <c:tx>
            <c:v>% Volume #2</c:v>
          </c:tx>
          <c:marker>
            <c:symbol val="none"/>
          </c:marker>
          <c:cat>
            <c:numRef>
              <c:f>Sheet1!$B$15:$H$15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cat>
          <c:val>
            <c:numRef>
              <c:f>Sheet1!$B$25:$H$25</c:f>
              <c:numCache>
                <c:formatCode>0.0</c:formatCode>
                <c:ptCount val="7"/>
                <c:pt idx="0">
                  <c:v>3.734298093394982</c:v>
                </c:pt>
                <c:pt idx="1">
                  <c:v>9.536899424118328</c:v>
                </c:pt>
                <c:pt idx="2">
                  <c:v>13.62346630432357</c:v>
                </c:pt>
                <c:pt idx="3">
                  <c:v>16.68363957015366</c:v>
                </c:pt>
                <c:pt idx="4">
                  <c:v>18.18920586821294</c:v>
                </c:pt>
                <c:pt idx="5">
                  <c:v>18.86268652935673</c:v>
                </c:pt>
                <c:pt idx="6">
                  <c:v>19.36980421043977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8918680"/>
        <c:axId val="2068921720"/>
      </c:lineChart>
      <c:catAx>
        <c:axId val="2068918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68921720"/>
        <c:crosses val="autoZero"/>
        <c:auto val="1"/>
        <c:lblAlgn val="ctr"/>
        <c:lblOffset val="100"/>
        <c:noMultiLvlLbl val="0"/>
      </c:catAx>
      <c:valAx>
        <c:axId val="206892172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06891868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200" b="1" i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Speed #1</c:v>
          </c:tx>
          <c:marker>
            <c:symbol val="none"/>
          </c:marker>
          <c:cat>
            <c:numRef>
              <c:f>Sheet1!$B$15:$H$15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cat>
          <c:val>
            <c:numRef>
              <c:f>Sheet1!$B$10:$H$10</c:f>
              <c:numCache>
                <c:formatCode>0.0</c:formatCode>
                <c:ptCount val="7"/>
                <c:pt idx="0" formatCode="0">
                  <c:v>182.4657932029146</c:v>
                </c:pt>
                <c:pt idx="1">
                  <c:v>143.0531818710851</c:v>
                </c:pt>
                <c:pt idx="2">
                  <c:v>113.4937233722129</c:v>
                </c:pt>
                <c:pt idx="3">
                  <c:v>91.5704583188827</c:v>
                </c:pt>
                <c:pt idx="4">
                  <c:v>69.15453562390464</c:v>
                </c:pt>
                <c:pt idx="5">
                  <c:v>49.44822995798986</c:v>
                </c:pt>
                <c:pt idx="6">
                  <c:v>34.66850070855377</c:v>
                </c:pt>
              </c:numCache>
            </c:numRef>
          </c:val>
          <c:smooth val="0"/>
        </c:ser>
        <c:ser>
          <c:idx val="1"/>
          <c:order val="1"/>
          <c:tx>
            <c:v>Speed #2</c:v>
          </c:tx>
          <c:marker>
            <c:symbol val="none"/>
          </c:marker>
          <c:cat>
            <c:numRef>
              <c:f>Sheet1!$B$15:$H$15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cat>
          <c:val>
            <c:numRef>
              <c:f>Sheet1!$B$22:$H$22</c:f>
              <c:numCache>
                <c:formatCode>0.0</c:formatCode>
                <c:ptCount val="7"/>
                <c:pt idx="0" formatCode="0">
                  <c:v>130.7004332688244</c:v>
                </c:pt>
                <c:pt idx="1">
                  <c:v>109.4398294570956</c:v>
                </c:pt>
                <c:pt idx="2">
                  <c:v>93.49437659829904</c:v>
                </c:pt>
                <c:pt idx="3">
                  <c:v>81.66816572802492</c:v>
                </c:pt>
                <c:pt idx="4">
                  <c:v>69.57619731010418</c:v>
                </c:pt>
                <c:pt idx="5">
                  <c:v>58.9458954042398</c:v>
                </c:pt>
                <c:pt idx="6">
                  <c:v>50.97316897484151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8953368"/>
        <c:axId val="2068956408"/>
      </c:lineChart>
      <c:catAx>
        <c:axId val="2068953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68956408"/>
        <c:crosses val="autoZero"/>
        <c:auto val="1"/>
        <c:lblAlgn val="ctr"/>
        <c:lblOffset val="100"/>
        <c:noMultiLvlLbl val="0"/>
      </c:catAx>
      <c:valAx>
        <c:axId val="206895640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06895336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200" b="1" i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<Relationship Id="rId3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469900</xdr:colOff>
      <xdr:row>3</xdr:row>
      <xdr:rowOff>177800</xdr:rowOff>
    </xdr:from>
    <xdr:to>
      <xdr:col>16</xdr:col>
      <xdr:colOff>914400</xdr:colOff>
      <xdr:row>17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330200</xdr:colOff>
      <xdr:row>18</xdr:row>
      <xdr:rowOff>0</xdr:rowOff>
    </xdr:from>
    <xdr:to>
      <xdr:col>12</xdr:col>
      <xdr:colOff>673100</xdr:colOff>
      <xdr:row>39</xdr:row>
      <xdr:rowOff>12700</xdr:rowOff>
    </xdr:to>
    <xdr:pic>
      <xdr:nvPicPr>
        <xdr:cNvPr id="3" name="Picture 2" descr="Screen Shot 2023-01-17 at 11.08.29 PM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6200" y="3657600"/>
          <a:ext cx="4660900" cy="4279900"/>
        </a:xfrm>
        <a:prstGeom prst="rect">
          <a:avLst/>
        </a:prstGeom>
      </xdr:spPr>
    </xdr:pic>
    <xdr:clientData/>
  </xdr:twoCellAnchor>
  <xdr:twoCellAnchor>
    <xdr:from>
      <xdr:col>8</xdr:col>
      <xdr:colOff>215900</xdr:colOff>
      <xdr:row>3</xdr:row>
      <xdr:rowOff>177800</xdr:rowOff>
    </xdr:from>
    <xdr:to>
      <xdr:col>12</xdr:col>
      <xdr:colOff>406400</xdr:colOff>
      <xdr:row>17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ragonfly75.com/moto/calculators.html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zoomScale="90" zoomScaleNormal="90" zoomScalePageLayoutView="90" workbookViewId="0">
      <selection activeCell="F38" sqref="F38"/>
    </sheetView>
  </sheetViews>
  <sheetFormatPr baseColWidth="10" defaultRowHeight="16" x14ac:dyDescent="0"/>
  <sheetData>
    <row r="1" spans="1:17">
      <c r="D1" s="37" t="s">
        <v>19</v>
      </c>
      <c r="E1" s="38"/>
      <c r="F1" s="38"/>
      <c r="G1" s="38"/>
      <c r="H1" s="39"/>
    </row>
    <row r="2" spans="1:17" ht="17" thickBot="1">
      <c r="D2" s="40"/>
      <c r="E2" s="41"/>
      <c r="F2" s="41"/>
      <c r="G2" s="41"/>
      <c r="H2" s="42"/>
    </row>
    <row r="3" spans="1:17">
      <c r="I3" s="21" t="s">
        <v>16</v>
      </c>
      <c r="J3" s="34" t="s">
        <v>20</v>
      </c>
      <c r="K3" s="35"/>
      <c r="L3" s="35"/>
      <c r="M3" s="36"/>
    </row>
    <row r="4" spans="1:17">
      <c r="B4" s="2" t="s">
        <v>0</v>
      </c>
      <c r="I4" s="22"/>
      <c r="J4" s="22"/>
      <c r="K4" s="22"/>
      <c r="L4" s="22"/>
      <c r="M4" s="22"/>
      <c r="N4" s="22"/>
      <c r="O4" s="22"/>
      <c r="P4" s="22"/>
      <c r="Q4" s="22"/>
    </row>
    <row r="5" spans="1:17">
      <c r="A5" s="1" t="s">
        <v>8</v>
      </c>
      <c r="B5" s="3" t="s">
        <v>17</v>
      </c>
      <c r="I5" s="22"/>
      <c r="J5" s="22"/>
      <c r="K5" s="22"/>
      <c r="L5" s="22"/>
      <c r="M5" s="22"/>
      <c r="N5" s="22"/>
      <c r="O5" s="22"/>
      <c r="P5" s="22"/>
      <c r="Q5" s="22"/>
    </row>
    <row r="6" spans="1:17">
      <c r="A6" s="4">
        <v>38</v>
      </c>
      <c r="B6" s="28">
        <v>0.19</v>
      </c>
      <c r="C6" s="18">
        <f>(1-B6)/6</f>
        <v>0.13500000000000001</v>
      </c>
      <c r="I6" s="22"/>
      <c r="J6" s="22"/>
      <c r="K6" s="22"/>
      <c r="L6" s="22"/>
      <c r="M6" s="22"/>
      <c r="N6" s="22"/>
      <c r="O6" s="22"/>
      <c r="P6" s="22"/>
      <c r="Q6" s="22"/>
    </row>
    <row r="7" spans="1:17">
      <c r="A7" s="6" t="s">
        <v>9</v>
      </c>
      <c r="B7" s="11">
        <f>1-((A6/2)/7)*0.3</f>
        <v>0.18571428571428572</v>
      </c>
      <c r="I7" s="22"/>
      <c r="J7" s="22"/>
      <c r="K7" s="22"/>
      <c r="L7" s="22"/>
      <c r="M7" s="22"/>
      <c r="N7" s="22"/>
      <c r="O7" s="22"/>
      <c r="P7" s="22"/>
      <c r="Q7" s="22"/>
    </row>
    <row r="8" spans="1:17">
      <c r="A8" s="7">
        <f>3.14*(A6/2)^2</f>
        <v>1133.54</v>
      </c>
      <c r="B8" s="6" t="s">
        <v>2</v>
      </c>
      <c r="C8" s="8" t="s">
        <v>1</v>
      </c>
      <c r="D8" s="6" t="s">
        <v>3</v>
      </c>
      <c r="E8" s="8" t="s">
        <v>4</v>
      </c>
      <c r="F8" s="6" t="s">
        <v>5</v>
      </c>
      <c r="G8" s="8" t="s">
        <v>6</v>
      </c>
      <c r="H8" s="6" t="s">
        <v>7</v>
      </c>
      <c r="I8" s="22"/>
      <c r="J8" s="22"/>
      <c r="K8" s="22"/>
      <c r="L8" s="22"/>
      <c r="M8" s="22"/>
      <c r="N8" s="22"/>
      <c r="O8" s="22"/>
      <c r="P8" s="22"/>
      <c r="Q8" s="22"/>
    </row>
    <row r="9" spans="1:17">
      <c r="A9" s="19" t="s">
        <v>15</v>
      </c>
      <c r="B9" s="9">
        <v>1</v>
      </c>
      <c r="C9" s="15">
        <f>B6+0.88*(C6*5)</f>
        <v>0.78400000000000003</v>
      </c>
      <c r="D9" s="15">
        <f>B6+0.8*(C6*4)</f>
        <v>0.62200000000000011</v>
      </c>
      <c r="E9" s="15">
        <f>B6+0.77*(C6*3)</f>
        <v>0.50185000000000002</v>
      </c>
      <c r="F9" s="15">
        <f>B6+0.7*(C6*2)</f>
        <v>0.379</v>
      </c>
      <c r="G9" s="9">
        <f>B6+0.6*(C6*1)</f>
        <v>0.27100000000000002</v>
      </c>
      <c r="H9" s="9">
        <f>B6</f>
        <v>0.19</v>
      </c>
      <c r="I9" s="23"/>
      <c r="J9" s="22"/>
      <c r="K9" s="22"/>
      <c r="L9" s="22"/>
      <c r="M9" s="22"/>
      <c r="N9" s="22"/>
      <c r="O9" s="22"/>
      <c r="P9" s="22"/>
      <c r="Q9" s="22"/>
    </row>
    <row r="10" spans="1:17">
      <c r="A10" s="12" t="s">
        <v>10</v>
      </c>
      <c r="B10" s="29">
        <f>(70*A8)/(0.02*A8+0.061*A8*(B6+0.88*C6*5)+0.102*A8*(B6+0.8*C6*4)+0.143*A8*(B6+0.77*C6*3)+0.183*A8*(B6+0.7*C6*2)+0.224*A8*(B6+0.6*C6)+0.266*A8*B6)</f>
        <v>182.4657932029146</v>
      </c>
      <c r="C10" s="25">
        <f>B10*C9</f>
        <v>143.05318187108506</v>
      </c>
      <c r="D10" s="25">
        <f>B10*D9</f>
        <v>113.4937233722129</v>
      </c>
      <c r="E10" s="25">
        <f>B10*E9</f>
        <v>91.5704583188827</v>
      </c>
      <c r="F10" s="25">
        <f>B10*F9</f>
        <v>69.154535623904636</v>
      </c>
      <c r="G10" s="25">
        <f>B10*G9</f>
        <v>49.448229957989859</v>
      </c>
      <c r="H10" s="30">
        <f>B10*H9</f>
        <v>34.668500708553772</v>
      </c>
      <c r="I10" s="22"/>
      <c r="J10" s="22"/>
      <c r="K10" s="22"/>
      <c r="L10" s="22"/>
      <c r="M10" s="22"/>
      <c r="N10" s="22"/>
      <c r="O10" s="22"/>
      <c r="P10" s="22"/>
      <c r="Q10" s="22"/>
    </row>
    <row r="11" spans="1:17">
      <c r="A11" s="13" t="s">
        <v>11</v>
      </c>
      <c r="B11" s="10">
        <f>0.02*A8</f>
        <v>22.6708</v>
      </c>
      <c r="C11" s="10">
        <f>0.061*A8</f>
        <v>69.145939999999996</v>
      </c>
      <c r="D11" s="10">
        <f>0.102*A8</f>
        <v>115.62107999999999</v>
      </c>
      <c r="E11" s="10">
        <f>0.143*A8</f>
        <v>162.09621999999999</v>
      </c>
      <c r="F11" s="10">
        <f>0.183*A8</f>
        <v>207.43781999999999</v>
      </c>
      <c r="G11" s="10">
        <f>0.224*A8</f>
        <v>253.91296</v>
      </c>
      <c r="H11" s="10">
        <f>0.266*A8</f>
        <v>301.52163999999999</v>
      </c>
      <c r="I11" s="22"/>
      <c r="J11" s="22"/>
      <c r="K11" s="22"/>
      <c r="L11" s="22"/>
      <c r="M11" s="22"/>
      <c r="N11" s="22"/>
      <c r="O11" s="22"/>
      <c r="P11" s="22"/>
      <c r="Q11" s="22"/>
    </row>
    <row r="12" spans="1:17">
      <c r="A12" s="14" t="s">
        <v>12</v>
      </c>
      <c r="B12" s="5">
        <f>B10*B11</f>
        <v>4136.6455045446364</v>
      </c>
      <c r="C12" s="5">
        <f t="shared" ref="C12:H12" si="0">C10*C11</f>
        <v>9891.5467304671347</v>
      </c>
      <c r="D12" s="5">
        <f t="shared" si="0"/>
        <v>13122.266869516496</v>
      </c>
      <c r="E12" s="5">
        <f t="shared" si="0"/>
        <v>14843.225157158438</v>
      </c>
      <c r="F12" s="5">
        <f t="shared" si="0"/>
        <v>14345.266112935116</v>
      </c>
      <c r="G12" s="5">
        <f t="shared" si="0"/>
        <v>12555.546435393881</v>
      </c>
      <c r="H12" s="5">
        <f t="shared" si="0"/>
        <v>10453.303189984295</v>
      </c>
      <c r="I12" s="23">
        <f>SUM(B12:H12)</f>
        <v>79347.799999999988</v>
      </c>
      <c r="J12" s="22"/>
      <c r="K12" s="22"/>
      <c r="L12" s="22"/>
      <c r="M12" s="22"/>
      <c r="N12" s="22"/>
      <c r="O12" s="22"/>
      <c r="P12" s="22"/>
      <c r="Q12" s="22"/>
    </row>
    <row r="13" spans="1:17">
      <c r="A13" s="13" t="s">
        <v>13</v>
      </c>
      <c r="B13" s="10">
        <f>100*B12/I12</f>
        <v>5.2133083772261326</v>
      </c>
      <c r="C13" s="10">
        <f>100*C12/I12</f>
        <v>12.466062991623128</v>
      </c>
      <c r="D13" s="10">
        <f>100*D12/I12</f>
        <v>16.537656834236738</v>
      </c>
      <c r="E13" s="10">
        <f>100*E12/I12</f>
        <v>18.706536485143179</v>
      </c>
      <c r="F13" s="10">
        <f>100*F12/I12</f>
        <v>18.078971455963643</v>
      </c>
      <c r="G13" s="10">
        <f>100*G12/I12</f>
        <v>15.823433586556757</v>
      </c>
      <c r="H13" s="10">
        <f>100*H12/I12</f>
        <v>13.174030269250435</v>
      </c>
      <c r="I13" s="24"/>
      <c r="J13" s="22"/>
      <c r="K13" s="22"/>
      <c r="L13" s="22"/>
      <c r="M13" s="22"/>
      <c r="N13" s="22"/>
      <c r="O13" s="22"/>
      <c r="P13" s="22"/>
      <c r="Q13" s="22"/>
    </row>
    <row r="14" spans="1:17">
      <c r="A14" s="27" t="s">
        <v>14</v>
      </c>
      <c r="B14" s="25">
        <f>B10*B13*0.01</f>
        <v>9.5125044826196579</v>
      </c>
      <c r="C14" s="25">
        <f t="shared" ref="C14:H14" si="1">C10*C13*0.01</f>
        <v>17.833099763570662</v>
      </c>
      <c r="D14" s="25">
        <f t="shared" si="1"/>
        <v>18.769202499694504</v>
      </c>
      <c r="E14" s="25">
        <f t="shared" si="1"/>
        <v>17.129661195034618</v>
      </c>
      <c r="F14" s="25">
        <f t="shared" si="1"/>
        <v>12.502428755949927</v>
      </c>
      <c r="G14" s="25">
        <f t="shared" si="1"/>
        <v>7.8244078271303872</v>
      </c>
      <c r="H14" s="25">
        <f t="shared" si="1"/>
        <v>4.5672387772401759</v>
      </c>
      <c r="I14" s="22"/>
      <c r="J14" s="22"/>
      <c r="K14" s="22"/>
      <c r="L14" s="22"/>
      <c r="M14" s="22"/>
      <c r="N14" s="22"/>
      <c r="O14" s="22"/>
      <c r="P14" s="22"/>
      <c r="Q14" s="22"/>
    </row>
    <row r="15" spans="1:17">
      <c r="B15" s="17">
        <v>1</v>
      </c>
      <c r="C15" s="17">
        <v>2</v>
      </c>
      <c r="D15" s="17">
        <v>3</v>
      </c>
      <c r="E15" s="17">
        <v>4</v>
      </c>
      <c r="F15" s="17">
        <v>5</v>
      </c>
      <c r="G15" s="17">
        <v>6</v>
      </c>
      <c r="H15" s="17">
        <v>7</v>
      </c>
      <c r="I15" s="22"/>
      <c r="J15" s="22"/>
      <c r="K15" s="22"/>
      <c r="L15" s="22"/>
      <c r="M15" s="22"/>
      <c r="N15" s="22"/>
      <c r="O15" s="22"/>
      <c r="P15" s="22"/>
      <c r="Q15" s="22"/>
    </row>
    <row r="16" spans="1:17">
      <c r="B16" s="2" t="s">
        <v>0</v>
      </c>
      <c r="I16" s="22"/>
      <c r="J16" s="22"/>
      <c r="K16" s="22"/>
      <c r="L16" s="22"/>
      <c r="M16" s="22"/>
      <c r="N16" s="22"/>
      <c r="O16" s="22"/>
      <c r="P16" s="22"/>
      <c r="Q16" s="22"/>
    </row>
    <row r="17" spans="1:17">
      <c r="A17" s="1" t="s">
        <v>8</v>
      </c>
      <c r="B17" s="3" t="s">
        <v>18</v>
      </c>
      <c r="I17" s="22"/>
      <c r="J17" s="22"/>
      <c r="K17" s="22"/>
      <c r="L17" s="22"/>
      <c r="M17" s="22"/>
      <c r="N17" s="22"/>
      <c r="O17" s="22"/>
      <c r="P17" s="22"/>
      <c r="Q17" s="22"/>
    </row>
    <row r="18" spans="1:17">
      <c r="A18" s="33">
        <f>A6</f>
        <v>38</v>
      </c>
      <c r="B18" s="4">
        <v>0.39</v>
      </c>
      <c r="C18" s="18">
        <f>(1-B18)/6</f>
        <v>0.10166666666666667</v>
      </c>
      <c r="I18" s="22"/>
      <c r="J18" s="22"/>
      <c r="K18" s="22"/>
      <c r="L18" s="22"/>
      <c r="M18" s="22"/>
      <c r="N18" s="22"/>
      <c r="O18" s="22"/>
      <c r="P18" s="22"/>
      <c r="Q18" s="22"/>
    </row>
    <row r="19" spans="1:17">
      <c r="A19" s="6" t="s">
        <v>9</v>
      </c>
      <c r="B19" s="11">
        <f>B6+0.2</f>
        <v>0.39</v>
      </c>
      <c r="I19" s="22"/>
      <c r="J19" s="22"/>
      <c r="K19" s="22"/>
      <c r="L19" s="22"/>
      <c r="M19" s="22"/>
      <c r="N19" s="22"/>
      <c r="O19" s="22"/>
      <c r="P19" s="22"/>
      <c r="Q19" s="22"/>
    </row>
    <row r="20" spans="1:17">
      <c r="A20" s="7">
        <f>3.14*(A18/2)^2</f>
        <v>1133.54</v>
      </c>
      <c r="B20" s="6" t="s">
        <v>2</v>
      </c>
      <c r="C20" s="8" t="s">
        <v>1</v>
      </c>
      <c r="D20" s="6" t="s">
        <v>3</v>
      </c>
      <c r="E20" s="8" t="s">
        <v>4</v>
      </c>
      <c r="F20" s="6" t="s">
        <v>5</v>
      </c>
      <c r="G20" s="8" t="s">
        <v>6</v>
      </c>
      <c r="H20" s="6" t="s">
        <v>7</v>
      </c>
      <c r="I20" s="22"/>
      <c r="J20" s="22"/>
      <c r="K20" s="22"/>
      <c r="L20" s="22"/>
      <c r="M20" s="22"/>
      <c r="N20" s="22"/>
      <c r="O20" s="22"/>
      <c r="P20" s="22"/>
      <c r="Q20" s="22"/>
    </row>
    <row r="21" spans="1:17">
      <c r="A21" s="20" t="s">
        <v>15</v>
      </c>
      <c r="B21" s="9">
        <v>1</v>
      </c>
      <c r="C21" s="16">
        <f>B18+0.88*(C18*5)</f>
        <v>0.83733333333333326</v>
      </c>
      <c r="D21" s="16">
        <f>B18+0.8*(C18*4)</f>
        <v>0.71533333333333338</v>
      </c>
      <c r="E21" s="15">
        <f>B18+0.77*(C18*3)</f>
        <v>0.62485000000000002</v>
      </c>
      <c r="F21" s="16">
        <f>B18+0.7*(C18*2)</f>
        <v>0.53233333333333333</v>
      </c>
      <c r="G21" s="9">
        <f>B18+0.6*(C18*1)</f>
        <v>0.45100000000000001</v>
      </c>
      <c r="H21" s="9">
        <f>B18</f>
        <v>0.39</v>
      </c>
      <c r="I21" s="22"/>
      <c r="J21" s="22"/>
      <c r="K21" s="22"/>
      <c r="L21" s="22"/>
      <c r="M21" s="22"/>
      <c r="N21" s="22"/>
      <c r="O21" s="22"/>
      <c r="P21" s="22"/>
      <c r="Q21" s="22"/>
    </row>
    <row r="22" spans="1:17">
      <c r="A22" s="12" t="s">
        <v>10</v>
      </c>
      <c r="B22" s="31">
        <f>(70*A20)/(0.02*A20+0.061*A20*(B18+0.88*C18*5)+0.102*A20*(B18+0.8*C18*4)+0.143*A20*(B18+0.77*C18*3)+0.183*A20*(B18+0.7*C18*2)+0.224*A20*(B18+0.6*C18)+0.266*A20*B18)</f>
        <v>130.70043326882438</v>
      </c>
      <c r="C22" s="26">
        <f>B22*C21</f>
        <v>109.43982945709561</v>
      </c>
      <c r="D22" s="26">
        <f>B22*D21</f>
        <v>93.494376598299041</v>
      </c>
      <c r="E22" s="26">
        <f>B22*E21</f>
        <v>81.668165728024917</v>
      </c>
      <c r="F22" s="26">
        <f>B22*F21</f>
        <v>69.576197310104178</v>
      </c>
      <c r="G22" s="26">
        <f>B22*G21</f>
        <v>58.945895404239799</v>
      </c>
      <c r="H22" s="32">
        <f>B22*H21</f>
        <v>50.973168974841514</v>
      </c>
      <c r="I22" s="22"/>
      <c r="J22" s="22"/>
      <c r="K22" s="22"/>
      <c r="L22" s="22"/>
      <c r="M22" s="22"/>
      <c r="N22" s="22"/>
      <c r="O22" s="22"/>
      <c r="P22" s="22"/>
      <c r="Q22" s="22"/>
    </row>
    <row r="23" spans="1:17">
      <c r="A23" s="13" t="s">
        <v>11</v>
      </c>
      <c r="B23" s="10">
        <f>0.02*A20</f>
        <v>22.6708</v>
      </c>
      <c r="C23" s="10">
        <f>0.061*A20</f>
        <v>69.145939999999996</v>
      </c>
      <c r="D23" s="10">
        <f>0.102*A20</f>
        <v>115.62107999999999</v>
      </c>
      <c r="E23" s="10">
        <f>0.143*A20</f>
        <v>162.09621999999999</v>
      </c>
      <c r="F23" s="10">
        <f>0.183*A20</f>
        <v>207.43781999999999</v>
      </c>
      <c r="G23" s="10">
        <f>0.224*A20</f>
        <v>253.91296</v>
      </c>
      <c r="H23" s="10">
        <f>0.266*A20</f>
        <v>301.52163999999999</v>
      </c>
      <c r="I23" s="22"/>
      <c r="J23" s="22"/>
      <c r="K23" s="22"/>
      <c r="L23" s="22"/>
      <c r="M23" s="22"/>
      <c r="N23" s="22"/>
      <c r="O23" s="22"/>
      <c r="P23" s="22"/>
      <c r="Q23" s="22"/>
    </row>
    <row r="24" spans="1:17">
      <c r="A24" s="14" t="s">
        <v>12</v>
      </c>
      <c r="B24" s="5">
        <f>B22*B23</f>
        <v>2963.0833825508639</v>
      </c>
      <c r="C24" s="5">
        <f t="shared" ref="C24" si="2">C22*C23</f>
        <v>7567.3198812505652</v>
      </c>
      <c r="D24" s="5">
        <f t="shared" ref="D24" si="3">D22*D23</f>
        <v>10809.920796222061</v>
      </c>
      <c r="E24" s="5">
        <f t="shared" ref="E24" si="4">E22*E23</f>
        <v>13238.100958846386</v>
      </c>
      <c r="F24" s="5">
        <f t="shared" ref="F24" si="5">F22*F23</f>
        <v>14432.734693897874</v>
      </c>
      <c r="G24" s="5">
        <f t="shared" ref="G24" si="6">G22*G23</f>
        <v>14967.126781940924</v>
      </c>
      <c r="H24" s="5">
        <f t="shared" ref="H24" si="7">H22*H23</f>
        <v>15369.513505291332</v>
      </c>
      <c r="I24" s="23">
        <f>SUM(B24:H24)</f>
        <v>79347.800000000017</v>
      </c>
      <c r="J24" s="22"/>
      <c r="K24" s="22"/>
      <c r="L24" s="22"/>
      <c r="M24" s="22"/>
      <c r="N24" s="22"/>
      <c r="O24" s="22"/>
      <c r="P24" s="22"/>
      <c r="Q24" s="22"/>
    </row>
    <row r="25" spans="1:17">
      <c r="A25" s="13" t="s">
        <v>13</v>
      </c>
      <c r="B25" s="10">
        <f>100*B24/I24</f>
        <v>3.7342980933949819</v>
      </c>
      <c r="C25" s="10">
        <f>100*C24/I24</f>
        <v>9.536899424118328</v>
      </c>
      <c r="D25" s="10">
        <f>100*D24/I24</f>
        <v>13.623466304323571</v>
      </c>
      <c r="E25" s="10">
        <f>100*E24/I24</f>
        <v>16.683639570153655</v>
      </c>
      <c r="F25" s="10">
        <f>100*F24/I24</f>
        <v>18.189205868212944</v>
      </c>
      <c r="G25" s="10">
        <f>100*G24/I24</f>
        <v>18.862686529356733</v>
      </c>
      <c r="H25" s="10">
        <f>100*H24/I24</f>
        <v>19.369804210439771</v>
      </c>
      <c r="I25" s="22"/>
      <c r="J25" s="22"/>
      <c r="K25" s="22"/>
      <c r="L25" s="22"/>
      <c r="M25" s="22"/>
      <c r="N25" s="22"/>
      <c r="O25" s="22"/>
      <c r="P25" s="22"/>
      <c r="Q25" s="22"/>
    </row>
    <row r="26" spans="1:17">
      <c r="A26" s="27" t="s">
        <v>14</v>
      </c>
      <c r="B26" s="26">
        <f>B22*B25*0.01</f>
        <v>4.880743787616689</v>
      </c>
      <c r="C26" s="26">
        <f t="shared" ref="C26" si="8">C22*C25*0.01</f>
        <v>10.437166465249831</v>
      </c>
      <c r="D26" s="26">
        <f t="shared" ref="D26" si="9">D22*D25*0.01</f>
        <v>12.737174892306653</v>
      </c>
      <c r="E26" s="26">
        <f t="shared" ref="E26" si="10">E22*E25*0.01</f>
        <v>13.625222413619431</v>
      </c>
      <c r="F26" s="26">
        <f t="shared" ref="F26" si="11">F22*F25*0.01</f>
        <v>12.655357764008887</v>
      </c>
      <c r="G26" s="26">
        <f t="shared" ref="G26" si="12">G22*G25*0.01</f>
        <v>11.118779472024251</v>
      </c>
      <c r="H26" s="26">
        <f t="shared" ref="H26" si="13">H22*H25*0.01</f>
        <v>9.8734030302834306</v>
      </c>
      <c r="I26" s="22"/>
      <c r="J26" s="22"/>
      <c r="K26" s="22"/>
      <c r="L26" s="22"/>
      <c r="M26" s="22"/>
      <c r="N26" s="22"/>
      <c r="O26" s="22"/>
      <c r="P26" s="22"/>
      <c r="Q26" s="22"/>
    </row>
    <row r="27" spans="1:17">
      <c r="I27" s="22"/>
      <c r="J27" s="22"/>
      <c r="K27" s="22"/>
      <c r="L27" s="22"/>
      <c r="M27" s="22"/>
      <c r="N27" s="22"/>
      <c r="O27" s="22"/>
      <c r="P27" s="22"/>
      <c r="Q27" s="22"/>
    </row>
    <row r="28" spans="1:17">
      <c r="I28" s="22"/>
      <c r="J28" s="22"/>
      <c r="K28" s="22"/>
      <c r="L28" s="22"/>
      <c r="M28" s="22"/>
      <c r="N28" s="22"/>
      <c r="O28" s="22"/>
      <c r="P28" s="22"/>
      <c r="Q28" s="22"/>
    </row>
    <row r="29" spans="1:17">
      <c r="I29" s="22"/>
      <c r="J29" s="22"/>
      <c r="K29" s="22"/>
      <c r="L29" s="22"/>
      <c r="M29" s="22"/>
      <c r="N29" s="22"/>
      <c r="O29" s="22"/>
      <c r="P29" s="22"/>
      <c r="Q29" s="22"/>
    </row>
    <row r="30" spans="1:17">
      <c r="A30" s="43" t="s">
        <v>21</v>
      </c>
      <c r="B30" s="43"/>
      <c r="C30" s="43"/>
      <c r="D30" s="43"/>
      <c r="E30" s="43"/>
      <c r="F30" s="43"/>
      <c r="G30" s="43"/>
      <c r="I30" s="22"/>
      <c r="J30" s="22"/>
      <c r="K30" s="22"/>
      <c r="L30" s="22"/>
      <c r="M30" s="22"/>
      <c r="N30" s="22"/>
      <c r="O30" s="22"/>
      <c r="P30" s="22"/>
      <c r="Q30" s="22"/>
    </row>
    <row r="31" spans="1:17">
      <c r="A31" s="44" t="s">
        <v>22</v>
      </c>
      <c r="B31" s="44"/>
      <c r="C31" s="44"/>
      <c r="D31" s="44"/>
      <c r="I31" s="22"/>
      <c r="J31" s="22"/>
      <c r="K31" s="22"/>
      <c r="L31" s="22"/>
      <c r="M31" s="22"/>
      <c r="N31" s="22"/>
      <c r="O31" s="22"/>
      <c r="P31" s="22"/>
      <c r="Q31" s="22"/>
    </row>
    <row r="32" spans="1:17">
      <c r="I32" s="22"/>
      <c r="J32" s="22"/>
      <c r="K32" s="22"/>
      <c r="L32" s="22"/>
      <c r="M32" s="22"/>
      <c r="N32" s="22"/>
      <c r="O32" s="22"/>
      <c r="P32" s="22"/>
      <c r="Q32" s="22"/>
    </row>
    <row r="33" spans="9:17">
      <c r="I33" s="22"/>
      <c r="J33" s="22"/>
      <c r="K33" s="22"/>
      <c r="L33" s="22"/>
      <c r="M33" s="22"/>
      <c r="N33" s="22"/>
      <c r="O33" s="22"/>
      <c r="P33" s="22"/>
      <c r="Q33" s="22"/>
    </row>
    <row r="34" spans="9:17">
      <c r="I34" s="22"/>
      <c r="J34" s="22"/>
      <c r="K34" s="22"/>
      <c r="L34" s="22"/>
      <c r="M34" s="22"/>
      <c r="N34" s="22"/>
      <c r="O34" s="22"/>
      <c r="P34" s="22"/>
      <c r="Q34" s="22"/>
    </row>
    <row r="35" spans="9:17">
      <c r="I35" s="22"/>
      <c r="J35" s="22"/>
      <c r="K35" s="22"/>
      <c r="L35" s="22"/>
      <c r="M35" s="22"/>
      <c r="N35" s="22"/>
      <c r="O35" s="22"/>
      <c r="P35" s="22"/>
      <c r="Q35" s="22"/>
    </row>
    <row r="36" spans="9:17">
      <c r="I36" s="22"/>
      <c r="J36" s="22"/>
      <c r="K36" s="22"/>
      <c r="L36" s="22"/>
      <c r="M36" s="22"/>
      <c r="N36" s="22"/>
      <c r="O36" s="22"/>
      <c r="P36" s="22"/>
      <c r="Q36" s="22"/>
    </row>
    <row r="37" spans="9:17">
      <c r="I37" s="22"/>
      <c r="J37" s="22"/>
      <c r="K37" s="22"/>
      <c r="L37" s="22"/>
      <c r="M37" s="22"/>
      <c r="N37" s="22"/>
      <c r="O37" s="22"/>
      <c r="P37" s="22"/>
      <c r="Q37" s="22"/>
    </row>
    <row r="38" spans="9:17">
      <c r="I38" s="22"/>
      <c r="J38" s="22"/>
      <c r="K38" s="22"/>
      <c r="L38" s="22"/>
      <c r="M38" s="22"/>
      <c r="N38" s="22"/>
      <c r="O38" s="22"/>
      <c r="P38" s="22"/>
      <c r="Q38" s="22"/>
    </row>
    <row r="39" spans="9:17">
      <c r="I39" s="22"/>
      <c r="J39" s="22"/>
      <c r="K39" s="22"/>
      <c r="L39" s="22"/>
      <c r="M39" s="22"/>
      <c r="N39" s="22"/>
      <c r="O39" s="22"/>
      <c r="P39" s="22"/>
      <c r="Q39" s="22"/>
    </row>
    <row r="40" spans="9:17">
      <c r="I40" s="22"/>
      <c r="J40" s="22"/>
      <c r="K40" s="22"/>
      <c r="L40" s="22"/>
      <c r="M40" s="22"/>
      <c r="N40" s="22"/>
      <c r="O40" s="22"/>
      <c r="P40" s="22"/>
      <c r="Q40" s="22"/>
    </row>
  </sheetData>
  <sheetProtection password="BE32" sheet="1" objects="1" scenarios="1"/>
  <mergeCells count="4">
    <mergeCell ref="J3:M3"/>
    <mergeCell ref="D1:H2"/>
    <mergeCell ref="A30:G30"/>
    <mergeCell ref="A31:D31"/>
  </mergeCells>
  <phoneticPr fontId="8" type="noConversion"/>
  <hyperlinks>
    <hyperlink ref="A31" r:id="rId1"/>
  </hyperlinks>
  <pageMargins left="0.75" right="0.75" top="1" bottom="1" header="0.5" footer="0.5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F</dc:creator>
  <cp:lastModifiedBy>Michael F</cp:lastModifiedBy>
  <cp:lastPrinted>2023-01-18T04:13:58Z</cp:lastPrinted>
  <dcterms:created xsi:type="dcterms:W3CDTF">2023-01-18T02:18:54Z</dcterms:created>
  <dcterms:modified xsi:type="dcterms:W3CDTF">2023-01-19T15:48:57Z</dcterms:modified>
</cp:coreProperties>
</file>